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SG Main\AIMR\CIPC\Combining Returns\"/>
    </mc:Choice>
  </mc:AlternateContent>
  <xr:revisionPtr revIDLastSave="0" documentId="13_ncr:1_{BC91739B-69EE-4DFC-9080-E18F8E230E37}" xr6:coauthVersionLast="47" xr6:coauthVersionMax="47" xr10:uidLastSave="{00000000-0000-0000-0000-000000000000}"/>
  <bookViews>
    <workbookView xWindow="-120" yWindow="-120" windowWidth="38640" windowHeight="15840" activeTab="5" xr2:uid="{9A0A1157-D0A0-4CDA-A8DC-C076E3248124}"/>
  </bookViews>
  <sheets>
    <sheet name="TWR" sheetId="1" r:id="rId1"/>
    <sheet name="TWR full yr" sheetId="4" r:id="rId2"/>
    <sheet name="TWR full yr (2)" sheetId="7" r:id="rId3"/>
    <sheet name="IRR" sheetId="2" r:id="rId4"/>
    <sheet name="Mixed" sheetId="3" r:id="rId5"/>
    <sheet name="IRR Overall" sheetId="5" r:id="rId6"/>
    <sheet name="Summary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7" l="1" a="1"/>
  <c r="G35" i="7" s="1"/>
  <c r="G34" i="7"/>
  <c r="G33" i="7"/>
  <c r="G32" i="7"/>
  <c r="G31" i="7"/>
  <c r="G30" i="7"/>
  <c r="G29" i="7"/>
  <c r="G28" i="7"/>
  <c r="G27" i="7"/>
  <c r="G26" i="7"/>
  <c r="G25" i="7"/>
  <c r="G24" i="7"/>
  <c r="G23" i="7"/>
  <c r="BU19" i="7"/>
  <c r="BO19" i="7"/>
  <c r="BL19" i="7"/>
  <c r="BI19" i="7"/>
  <c r="BF19" i="7"/>
  <c r="BC19" i="7"/>
  <c r="BK14" i="7"/>
  <c r="BM6" i="7" s="1"/>
  <c r="BE14" i="7"/>
  <c r="BG8" i="7" s="1"/>
  <c r="BS12" i="7"/>
  <c r="BS11" i="7"/>
  <c r="BS10" i="7"/>
  <c r="BS9" i="7"/>
  <c r="BS8" i="7"/>
  <c r="BS7" i="7"/>
  <c r="BS6" i="7"/>
  <c r="BS5" i="7"/>
  <c r="BS4" i="7"/>
  <c r="BG11" i="7"/>
  <c r="BG10" i="7"/>
  <c r="BG9" i="7"/>
  <c r="BG7" i="7"/>
  <c r="BA12" i="7"/>
  <c r="BA11" i="7"/>
  <c r="BA10" i="7"/>
  <c r="BA9" i="7"/>
  <c r="BA8" i="7"/>
  <c r="BA7" i="7"/>
  <c r="BA6" i="7"/>
  <c r="BA5" i="7"/>
  <c r="BA4" i="7"/>
  <c r="AW19" i="7"/>
  <c r="AU12" i="7"/>
  <c r="AU11" i="7"/>
  <c r="AU10" i="7"/>
  <c r="AU9" i="7"/>
  <c r="AU8" i="7"/>
  <c r="AU7" i="7"/>
  <c r="AU6" i="7"/>
  <c r="AU5" i="7"/>
  <c r="AU4" i="7"/>
  <c r="AQ19" i="7"/>
  <c r="AO12" i="7"/>
  <c r="AO11" i="7"/>
  <c r="AO10" i="7"/>
  <c r="AO9" i="7"/>
  <c r="AO8" i="7"/>
  <c r="AO7" i="7"/>
  <c r="AO6" i="7"/>
  <c r="AO4" i="7"/>
  <c r="AO14" i="7" s="1"/>
  <c r="AK19" i="7"/>
  <c r="AI12" i="7"/>
  <c r="AI11" i="7"/>
  <c r="AI10" i="7"/>
  <c r="AI9" i="7"/>
  <c r="AI8" i="7"/>
  <c r="AI7" i="7"/>
  <c r="AI6" i="7"/>
  <c r="AI4" i="7"/>
  <c r="AI14" i="7" s="1"/>
  <c r="AE19" i="7"/>
  <c r="AC12" i="7"/>
  <c r="AC11" i="7"/>
  <c r="AC10" i="7"/>
  <c r="AC9" i="7"/>
  <c r="AC8" i="7"/>
  <c r="AC7" i="7"/>
  <c r="AC6" i="7"/>
  <c r="AC4" i="7"/>
  <c r="AC14" i="7" s="1"/>
  <c r="I14" i="7"/>
  <c r="I14" i="4"/>
  <c r="K8" i="4" s="1"/>
  <c r="K12" i="4"/>
  <c r="K10" i="4"/>
  <c r="J14" i="4"/>
  <c r="Y19" i="7"/>
  <c r="S19" i="7"/>
  <c r="M19" i="7"/>
  <c r="J19" i="7"/>
  <c r="G19" i="7"/>
  <c r="D20" i="7"/>
  <c r="D19" i="7"/>
  <c r="BT14" i="7"/>
  <c r="BQ14" i="7"/>
  <c r="BN14" i="7"/>
  <c r="BH14" i="7"/>
  <c r="BB14" i="7"/>
  <c r="AY14" i="7"/>
  <c r="AV14" i="7"/>
  <c r="AS14" i="7"/>
  <c r="AP14" i="7"/>
  <c r="AM14" i="7"/>
  <c r="AJ14" i="7"/>
  <c r="AG14" i="7"/>
  <c r="AD14" i="7"/>
  <c r="AA14" i="7"/>
  <c r="X14" i="7"/>
  <c r="U14" i="7"/>
  <c r="O14" i="7"/>
  <c r="L14" i="7"/>
  <c r="F14" i="7"/>
  <c r="B14" i="7"/>
  <c r="BP12" i="7"/>
  <c r="BL12" i="7"/>
  <c r="BJ12" i="7"/>
  <c r="BD12" i="7"/>
  <c r="BI12" i="7" s="1"/>
  <c r="BI13" i="7" s="1"/>
  <c r="AX12" i="7"/>
  <c r="BC12" i="7" s="1"/>
  <c r="BC13" i="7" s="1"/>
  <c r="AR12" i="7"/>
  <c r="AW12" i="7" s="1"/>
  <c r="AW13" i="7" s="1"/>
  <c r="AL12" i="7"/>
  <c r="AF12" i="7"/>
  <c r="AK12" i="7" s="1"/>
  <c r="AK13" i="7" s="1"/>
  <c r="Z12" i="7"/>
  <c r="AE12" i="7" s="1"/>
  <c r="AE13" i="7" s="1"/>
  <c r="T12" i="7"/>
  <c r="Y12" i="7" s="1"/>
  <c r="Y13" i="7" s="1"/>
  <c r="N12" i="7"/>
  <c r="S12" i="7" s="1"/>
  <c r="S13" i="7" s="1"/>
  <c r="H12" i="7"/>
  <c r="M12" i="7" s="1"/>
  <c r="M13" i="7" s="1"/>
  <c r="G12" i="7"/>
  <c r="G13" i="7" s="1"/>
  <c r="BP10" i="7"/>
  <c r="BU10" i="7" s="1"/>
  <c r="BU11" i="7" s="1"/>
  <c r="BJ10" i="7"/>
  <c r="BO10" i="7" s="1"/>
  <c r="BO11" i="7" s="1"/>
  <c r="BF10" i="7"/>
  <c r="BD10" i="7"/>
  <c r="AX10" i="7"/>
  <c r="AR10" i="7"/>
  <c r="AW10" i="7" s="1"/>
  <c r="AW11" i="7" s="1"/>
  <c r="AL10" i="7"/>
  <c r="AQ10" i="7" s="1"/>
  <c r="AQ11" i="7" s="1"/>
  <c r="AF10" i="7"/>
  <c r="AK10" i="7" s="1"/>
  <c r="AK11" i="7" s="1"/>
  <c r="Z10" i="7"/>
  <c r="AE10" i="7" s="1"/>
  <c r="AE11" i="7" s="1"/>
  <c r="N10" i="7"/>
  <c r="H10" i="7"/>
  <c r="M10" i="7" s="1"/>
  <c r="M11" i="7" s="1"/>
  <c r="G10" i="7"/>
  <c r="G11" i="7" s="1"/>
  <c r="BP8" i="7"/>
  <c r="BJ8" i="7"/>
  <c r="BO8" i="7" s="1"/>
  <c r="BO9" i="7" s="1"/>
  <c r="BD8" i="7"/>
  <c r="BI8" i="7" s="1"/>
  <c r="BI9" i="7" s="1"/>
  <c r="AX8" i="7"/>
  <c r="BC8" i="7" s="1"/>
  <c r="BC9" i="7" s="1"/>
  <c r="AR8" i="7"/>
  <c r="AW8" i="7" s="1"/>
  <c r="AW9" i="7" s="1"/>
  <c r="AL8" i="7"/>
  <c r="AQ8" i="7" s="1"/>
  <c r="AQ9" i="7" s="1"/>
  <c r="AF8" i="7"/>
  <c r="AK8" i="7" s="1"/>
  <c r="AK9" i="7" s="1"/>
  <c r="Z8" i="7"/>
  <c r="AE8" i="7" s="1"/>
  <c r="AE9" i="7" s="1"/>
  <c r="T8" i="7"/>
  <c r="Y8" i="7" s="1"/>
  <c r="Y9" i="7" s="1"/>
  <c r="N8" i="7"/>
  <c r="J8" i="7"/>
  <c r="H8" i="7"/>
  <c r="G8" i="7"/>
  <c r="G9" i="7" s="1"/>
  <c r="BP6" i="7"/>
  <c r="BU6" i="7" s="1"/>
  <c r="BU7" i="7" s="1"/>
  <c r="BJ6" i="7"/>
  <c r="BO6" i="7" s="1"/>
  <c r="BO7" i="7" s="1"/>
  <c r="BI6" i="7"/>
  <c r="BI7" i="7" s="1"/>
  <c r="BD6" i="7"/>
  <c r="AX6" i="7"/>
  <c r="BC6" i="7" s="1"/>
  <c r="BC7" i="7" s="1"/>
  <c r="AR6" i="7"/>
  <c r="AW6" i="7" s="1"/>
  <c r="AW7" i="7" s="1"/>
  <c r="AL6" i="7"/>
  <c r="AF6" i="7"/>
  <c r="AK6" i="7" s="1"/>
  <c r="AK7" i="7" s="1"/>
  <c r="Z6" i="7"/>
  <c r="AE6" i="7" s="1"/>
  <c r="AE7" i="7" s="1"/>
  <c r="T6" i="7"/>
  <c r="Y6" i="7" s="1"/>
  <c r="Y7" i="7" s="1"/>
  <c r="N6" i="7"/>
  <c r="S6" i="7" s="1"/>
  <c r="H6" i="7"/>
  <c r="M6" i="7" s="1"/>
  <c r="M7" i="7" s="1"/>
  <c r="D6" i="7"/>
  <c r="G6" i="7" s="1"/>
  <c r="G7" i="7" s="1"/>
  <c r="BP4" i="7"/>
  <c r="BU4" i="7" s="1"/>
  <c r="BJ4" i="7"/>
  <c r="BD4" i="7"/>
  <c r="AX4" i="7"/>
  <c r="BC4" i="7" s="1"/>
  <c r="AR4" i="7"/>
  <c r="AQ4" i="7"/>
  <c r="AQ5" i="7" s="1"/>
  <c r="AL4" i="7"/>
  <c r="AF4" i="7"/>
  <c r="AK4" i="7" s="1"/>
  <c r="Z4" i="7"/>
  <c r="AE4" i="7" s="1"/>
  <c r="AE5" i="7" s="1"/>
  <c r="T4" i="7"/>
  <c r="Y4" i="7" s="1"/>
  <c r="N4" i="7"/>
  <c r="M4" i="7"/>
  <c r="M5" i="7" s="1"/>
  <c r="H4" i="7"/>
  <c r="D4" i="7"/>
  <c r="G4" i="7" s="1"/>
  <c r="G5" i="7" s="1"/>
  <c r="D29" i="5"/>
  <c r="D28" i="5"/>
  <c r="F27" i="5"/>
  <c r="E27" i="5"/>
  <c r="F11" i="5"/>
  <c r="E11" i="5" s="1"/>
  <c r="E26" i="5"/>
  <c r="E25" i="5"/>
  <c r="E24" i="5"/>
  <c r="E23" i="5"/>
  <c r="E22" i="5"/>
  <c r="C32" i="2"/>
  <c r="C33" i="2"/>
  <c r="I57" i="4"/>
  <c r="K55" i="4" s="1"/>
  <c r="C57" i="4"/>
  <c r="Q27" i="4"/>
  <c r="Q26" i="4"/>
  <c r="Q25" i="4"/>
  <c r="Q24" i="4"/>
  <c r="Q23" i="4"/>
  <c r="Q22" i="4"/>
  <c r="Q21" i="4"/>
  <c r="Q19" i="4"/>
  <c r="K27" i="4"/>
  <c r="K26" i="4"/>
  <c r="K25" i="4"/>
  <c r="K24" i="4"/>
  <c r="K23" i="4"/>
  <c r="K22" i="4"/>
  <c r="K21" i="4"/>
  <c r="K19" i="4"/>
  <c r="E27" i="4"/>
  <c r="E26" i="4"/>
  <c r="E25" i="4"/>
  <c r="E24" i="4"/>
  <c r="E23" i="4"/>
  <c r="E22" i="4"/>
  <c r="E21" i="4"/>
  <c r="E19" i="4"/>
  <c r="B55" i="4"/>
  <c r="G55" i="4" s="1"/>
  <c r="G56" i="4" s="1"/>
  <c r="B53" i="4"/>
  <c r="B51" i="4"/>
  <c r="B49" i="4"/>
  <c r="B47" i="4"/>
  <c r="R57" i="4"/>
  <c r="O57" i="4"/>
  <c r="L57" i="4"/>
  <c r="F57" i="4"/>
  <c r="N55" i="4"/>
  <c r="S55" i="4" s="1"/>
  <c r="S56" i="4" s="1"/>
  <c r="M55" i="4"/>
  <c r="M56" i="4" s="1"/>
  <c r="J55" i="4"/>
  <c r="H55" i="4"/>
  <c r="N53" i="4"/>
  <c r="N57" i="4" s="1"/>
  <c r="Q53" i="4" s="1"/>
  <c r="H53" i="4"/>
  <c r="M53" i="4" s="1"/>
  <c r="M54" i="4" s="1"/>
  <c r="G53" i="4"/>
  <c r="G54" i="4" s="1"/>
  <c r="D53" i="4"/>
  <c r="S52" i="4"/>
  <c r="S51" i="4"/>
  <c r="N51" i="4"/>
  <c r="H51" i="4"/>
  <c r="M51" i="4" s="1"/>
  <c r="M52" i="4" s="1"/>
  <c r="G51" i="4"/>
  <c r="G52" i="4" s="1"/>
  <c r="S50" i="4"/>
  <c r="S49" i="4"/>
  <c r="N49" i="4"/>
  <c r="H49" i="4"/>
  <c r="M49" i="4" s="1"/>
  <c r="M50" i="4" s="1"/>
  <c r="S48" i="4"/>
  <c r="S47" i="4"/>
  <c r="N47" i="4"/>
  <c r="H47" i="4"/>
  <c r="H57" i="4" s="1"/>
  <c r="K47" i="4" s="1"/>
  <c r="Q41" i="4"/>
  <c r="B41" i="4"/>
  <c r="B39" i="4"/>
  <c r="G39" i="4" s="1"/>
  <c r="G40" i="4" s="1"/>
  <c r="B37" i="4"/>
  <c r="G37" i="4" s="1"/>
  <c r="G38" i="4" s="1"/>
  <c r="B35" i="4"/>
  <c r="B33" i="4"/>
  <c r="R43" i="4"/>
  <c r="O43" i="4"/>
  <c r="L43" i="4"/>
  <c r="I43" i="4"/>
  <c r="F43" i="4"/>
  <c r="C43" i="4"/>
  <c r="S42" i="4"/>
  <c r="S41" i="4"/>
  <c r="N41" i="4"/>
  <c r="H41" i="4"/>
  <c r="M41" i="4" s="1"/>
  <c r="M42" i="4" s="1"/>
  <c r="G41" i="4"/>
  <c r="G42" i="4" s="1"/>
  <c r="N39" i="4"/>
  <c r="S39" i="4" s="1"/>
  <c r="S40" i="4" s="1"/>
  <c r="H39" i="4"/>
  <c r="M39" i="4" s="1"/>
  <c r="M40" i="4" s="1"/>
  <c r="S38" i="4"/>
  <c r="S37" i="4"/>
  <c r="N37" i="4"/>
  <c r="H37" i="4"/>
  <c r="M37" i="4" s="1"/>
  <c r="M38" i="4" s="1"/>
  <c r="S35" i="4"/>
  <c r="S36" i="4" s="1"/>
  <c r="N35" i="4"/>
  <c r="H35" i="4"/>
  <c r="M35" i="4" s="1"/>
  <c r="M36" i="4" s="1"/>
  <c r="G35" i="4"/>
  <c r="G36" i="4" s="1"/>
  <c r="S34" i="4"/>
  <c r="S33" i="4"/>
  <c r="N33" i="4"/>
  <c r="N43" i="4" s="1"/>
  <c r="Q39" i="4" s="1"/>
  <c r="H33" i="4"/>
  <c r="G33" i="4"/>
  <c r="M19" i="4"/>
  <c r="G28" i="4"/>
  <c r="G26" i="4"/>
  <c r="G24" i="4"/>
  <c r="G22" i="4"/>
  <c r="G20" i="4"/>
  <c r="W12" i="4"/>
  <c r="W11" i="4"/>
  <c r="W10" i="4"/>
  <c r="W9" i="4"/>
  <c r="W8" i="4"/>
  <c r="W7" i="4"/>
  <c r="W6" i="4"/>
  <c r="W4" i="4"/>
  <c r="B27" i="4"/>
  <c r="G27" i="4" s="1"/>
  <c r="B25" i="4"/>
  <c r="G25" i="4" s="1"/>
  <c r="B23" i="4"/>
  <c r="G23" i="4" s="1"/>
  <c r="B21" i="4"/>
  <c r="G21" i="4" s="1"/>
  <c r="B19" i="4"/>
  <c r="G19" i="4" s="1"/>
  <c r="R29" i="4"/>
  <c r="O29" i="4"/>
  <c r="L29" i="4"/>
  <c r="I29" i="4"/>
  <c r="H29" i="4"/>
  <c r="F29" i="4"/>
  <c r="C29" i="4"/>
  <c r="N27" i="4"/>
  <c r="S27" i="4" s="1"/>
  <c r="S28" i="4" s="1"/>
  <c r="H27" i="4"/>
  <c r="M27" i="4" s="1"/>
  <c r="M28" i="4" s="1"/>
  <c r="N25" i="4"/>
  <c r="S25" i="4" s="1"/>
  <c r="S26" i="4" s="1"/>
  <c r="M25" i="4"/>
  <c r="M26" i="4" s="1"/>
  <c r="H25" i="4"/>
  <c r="N23" i="4"/>
  <c r="S23" i="4" s="1"/>
  <c r="S24" i="4" s="1"/>
  <c r="H23" i="4"/>
  <c r="M23" i="4" s="1"/>
  <c r="M24" i="4" s="1"/>
  <c r="N21" i="4"/>
  <c r="S21" i="4" s="1"/>
  <c r="S22" i="4" s="1"/>
  <c r="M21" i="4"/>
  <c r="M22" i="4" s="1"/>
  <c r="H21" i="4"/>
  <c r="N19" i="4"/>
  <c r="S19" i="4" s="1"/>
  <c r="H19" i="4"/>
  <c r="BT14" i="4"/>
  <c r="BQ14" i="4"/>
  <c r="BN14" i="4"/>
  <c r="BK14" i="4"/>
  <c r="BH14" i="4"/>
  <c r="BE14" i="4"/>
  <c r="BB14" i="4"/>
  <c r="AY14" i="4"/>
  <c r="AV14" i="4"/>
  <c r="AS14" i="4"/>
  <c r="AP14" i="4"/>
  <c r="AM14" i="4"/>
  <c r="AJ14" i="4"/>
  <c r="AG14" i="4"/>
  <c r="AD14" i="4"/>
  <c r="AA14" i="4"/>
  <c r="X14" i="4"/>
  <c r="U14" i="4"/>
  <c r="O14" i="4"/>
  <c r="L14" i="4"/>
  <c r="F14" i="4"/>
  <c r="B14" i="4"/>
  <c r="BP12" i="4"/>
  <c r="BU12" i="4" s="1"/>
  <c r="BU13" i="4" s="1"/>
  <c r="BL12" i="4"/>
  <c r="BJ12" i="4"/>
  <c r="BD12" i="4"/>
  <c r="AX12" i="4"/>
  <c r="BC12" i="4" s="1"/>
  <c r="BC13" i="4" s="1"/>
  <c r="AR12" i="4"/>
  <c r="AW12" i="4" s="1"/>
  <c r="AW13" i="4" s="1"/>
  <c r="AL12" i="4"/>
  <c r="AQ12" i="4" s="1"/>
  <c r="AQ13" i="4" s="1"/>
  <c r="AF12" i="4"/>
  <c r="AK12" i="4" s="1"/>
  <c r="AK13" i="4" s="1"/>
  <c r="Z12" i="4"/>
  <c r="AE12" i="4" s="1"/>
  <c r="AE13" i="4" s="1"/>
  <c r="T12" i="4"/>
  <c r="Y12" i="4" s="1"/>
  <c r="Y13" i="4" s="1"/>
  <c r="N12" i="4"/>
  <c r="S12" i="4" s="1"/>
  <c r="S13" i="4" s="1"/>
  <c r="H12" i="4"/>
  <c r="M12" i="4" s="1"/>
  <c r="M13" i="4" s="1"/>
  <c r="G12" i="4"/>
  <c r="G13" i="4" s="1"/>
  <c r="BP10" i="4"/>
  <c r="BU10" i="4" s="1"/>
  <c r="BU11" i="4" s="1"/>
  <c r="BJ10" i="4"/>
  <c r="BO10" i="4" s="1"/>
  <c r="BO11" i="4" s="1"/>
  <c r="BF10" i="4"/>
  <c r="BI10" i="4" s="1"/>
  <c r="BI11" i="4" s="1"/>
  <c r="BD10" i="4"/>
  <c r="AX10" i="4"/>
  <c r="AR10" i="4"/>
  <c r="AL10" i="4"/>
  <c r="AQ10" i="4" s="1"/>
  <c r="AQ11" i="4" s="1"/>
  <c r="AF10" i="4"/>
  <c r="AK10" i="4" s="1"/>
  <c r="AK11" i="4" s="1"/>
  <c r="Z10" i="4"/>
  <c r="AE10" i="4" s="1"/>
  <c r="AE11" i="4" s="1"/>
  <c r="N10" i="4"/>
  <c r="H10" i="4"/>
  <c r="M10" i="4" s="1"/>
  <c r="M11" i="4" s="1"/>
  <c r="G10" i="4"/>
  <c r="G11" i="4" s="1"/>
  <c r="BP8" i="4"/>
  <c r="BU8" i="4" s="1"/>
  <c r="BU9" i="4" s="1"/>
  <c r="BJ8" i="4"/>
  <c r="BO8" i="4" s="1"/>
  <c r="BO9" i="4" s="1"/>
  <c r="BD8" i="4"/>
  <c r="BI8" i="4" s="1"/>
  <c r="BI9" i="4" s="1"/>
  <c r="AX8" i="4"/>
  <c r="BC8" i="4" s="1"/>
  <c r="BC9" i="4" s="1"/>
  <c r="AR8" i="4"/>
  <c r="AL8" i="4"/>
  <c r="AF8" i="4"/>
  <c r="AK8" i="4" s="1"/>
  <c r="AK9" i="4" s="1"/>
  <c r="Z8" i="4"/>
  <c r="AE8" i="4" s="1"/>
  <c r="AE9" i="4" s="1"/>
  <c r="T8" i="4"/>
  <c r="Y8" i="4" s="1"/>
  <c r="Y9" i="4" s="1"/>
  <c r="N8" i="4"/>
  <c r="S8" i="4" s="1"/>
  <c r="S9" i="4" s="1"/>
  <c r="J8" i="4"/>
  <c r="H8" i="4"/>
  <c r="G8" i="4"/>
  <c r="G9" i="4" s="1"/>
  <c r="BP6" i="4"/>
  <c r="BU6" i="4" s="1"/>
  <c r="BU7" i="4" s="1"/>
  <c r="BJ6" i="4"/>
  <c r="BO6" i="4" s="1"/>
  <c r="BO7" i="4" s="1"/>
  <c r="BD6" i="4"/>
  <c r="BI6" i="4" s="1"/>
  <c r="BI7" i="4" s="1"/>
  <c r="AX6" i="4"/>
  <c r="BC6" i="4" s="1"/>
  <c r="BC7" i="4" s="1"/>
  <c r="AR6" i="4"/>
  <c r="AW6" i="4" s="1"/>
  <c r="AW7" i="4" s="1"/>
  <c r="AL6" i="4"/>
  <c r="AQ6" i="4" s="1"/>
  <c r="AQ7" i="4" s="1"/>
  <c r="AF6" i="4"/>
  <c r="Z6" i="4"/>
  <c r="AE6" i="4" s="1"/>
  <c r="AE7" i="4" s="1"/>
  <c r="T6" i="4"/>
  <c r="Y6" i="4" s="1"/>
  <c r="Y7" i="4" s="1"/>
  <c r="N6" i="4"/>
  <c r="S6" i="4" s="1"/>
  <c r="H6" i="4"/>
  <c r="M6" i="4" s="1"/>
  <c r="M7" i="4" s="1"/>
  <c r="D6" i="4"/>
  <c r="G6" i="4" s="1"/>
  <c r="G7" i="4" s="1"/>
  <c r="BP4" i="4"/>
  <c r="BU4" i="4" s="1"/>
  <c r="BU5" i="4" s="1"/>
  <c r="BJ4" i="4"/>
  <c r="BO4" i="4" s="1"/>
  <c r="BD4" i="4"/>
  <c r="AX4" i="4"/>
  <c r="BC4" i="4" s="1"/>
  <c r="BC5" i="4" s="1"/>
  <c r="AR4" i="4"/>
  <c r="AL4" i="4"/>
  <c r="AQ4" i="4" s="1"/>
  <c r="AQ5" i="4" s="1"/>
  <c r="AF4" i="4"/>
  <c r="AK4" i="4" s="1"/>
  <c r="AK5" i="4" s="1"/>
  <c r="Z4" i="4"/>
  <c r="T4" i="4"/>
  <c r="Y4" i="4" s="1"/>
  <c r="Y5" i="4" s="1"/>
  <c r="N4" i="4"/>
  <c r="S4" i="4" s="1"/>
  <c r="H4" i="4"/>
  <c r="M4" i="4" s="1"/>
  <c r="D4" i="4"/>
  <c r="G4" i="4" s="1"/>
  <c r="G5" i="4" s="1"/>
  <c r="I27" i="3"/>
  <c r="I26" i="3"/>
  <c r="I25" i="3"/>
  <c r="I22" i="3"/>
  <c r="I21" i="3"/>
  <c r="I20" i="3"/>
  <c r="I19" i="3"/>
  <c r="I18" i="3"/>
  <c r="Q12" i="3"/>
  <c r="Q11" i="3"/>
  <c r="Q10" i="3"/>
  <c r="Q9" i="3"/>
  <c r="Q8" i="3"/>
  <c r="Q7" i="3"/>
  <c r="Q6" i="3"/>
  <c r="Q4" i="3"/>
  <c r="K12" i="3"/>
  <c r="K11" i="3"/>
  <c r="K10" i="3"/>
  <c r="K9" i="3"/>
  <c r="K8" i="3"/>
  <c r="K7" i="3"/>
  <c r="K6" i="3"/>
  <c r="K4" i="3"/>
  <c r="E12" i="3"/>
  <c r="E11" i="3"/>
  <c r="E10" i="3"/>
  <c r="E9" i="3"/>
  <c r="E8" i="3"/>
  <c r="E7" i="3"/>
  <c r="E6" i="3"/>
  <c r="E4" i="3"/>
  <c r="G9" i="1"/>
  <c r="G8" i="1"/>
  <c r="G7" i="1"/>
  <c r="G6" i="1"/>
  <c r="G5" i="1"/>
  <c r="F9" i="1"/>
  <c r="F8" i="1"/>
  <c r="F7" i="1"/>
  <c r="F6" i="1"/>
  <c r="C10" i="1"/>
  <c r="H29" i="3"/>
  <c r="H27" i="3"/>
  <c r="H26" i="3"/>
  <c r="H25" i="3"/>
  <c r="H22" i="3"/>
  <c r="H21" i="3"/>
  <c r="H20" i="3"/>
  <c r="H19" i="3"/>
  <c r="H18" i="3"/>
  <c r="G29" i="3"/>
  <c r="B29" i="3"/>
  <c r="B22" i="3"/>
  <c r="B21" i="3"/>
  <c r="B20" i="3"/>
  <c r="B19" i="3"/>
  <c r="B18" i="3"/>
  <c r="F7" i="2"/>
  <c r="F6" i="2"/>
  <c r="F5" i="2"/>
  <c r="F17" i="2"/>
  <c r="F16" i="2"/>
  <c r="F15" i="2"/>
  <c r="F27" i="2"/>
  <c r="F26" i="2"/>
  <c r="G27" i="2"/>
  <c r="G26" i="2"/>
  <c r="G24" i="2"/>
  <c r="G25" i="2"/>
  <c r="F25" i="2"/>
  <c r="E22" i="3"/>
  <c r="G22" i="3" s="1"/>
  <c r="E21" i="3"/>
  <c r="E20" i="3"/>
  <c r="G20" i="3" s="1"/>
  <c r="E19" i="3"/>
  <c r="E18" i="3"/>
  <c r="C22" i="3"/>
  <c r="C21" i="3"/>
  <c r="G21" i="3" s="1"/>
  <c r="C20" i="3"/>
  <c r="C19" i="3"/>
  <c r="C18" i="3"/>
  <c r="BL12" i="3"/>
  <c r="BT14" i="3"/>
  <c r="BQ14" i="3"/>
  <c r="BN14" i="3"/>
  <c r="BK14" i="3"/>
  <c r="BP12" i="3"/>
  <c r="BU12" i="3" s="1"/>
  <c r="BU13" i="3" s="1"/>
  <c r="BJ12" i="3"/>
  <c r="BP10" i="3"/>
  <c r="BU10" i="3" s="1"/>
  <c r="BU11" i="3" s="1"/>
  <c r="BJ10" i="3"/>
  <c r="BO10" i="3" s="1"/>
  <c r="BO11" i="3" s="1"/>
  <c r="BP8" i="3"/>
  <c r="BU8" i="3" s="1"/>
  <c r="BU9" i="3" s="1"/>
  <c r="BJ8" i="3"/>
  <c r="BO8" i="3" s="1"/>
  <c r="BO9" i="3" s="1"/>
  <c r="BP6" i="3"/>
  <c r="BU6" i="3" s="1"/>
  <c r="BU7" i="3" s="1"/>
  <c r="BJ6" i="3"/>
  <c r="BO6" i="3" s="1"/>
  <c r="BO7" i="3" s="1"/>
  <c r="BP4" i="3"/>
  <c r="BU4" i="3" s="1"/>
  <c r="BU5" i="3" s="1"/>
  <c r="BJ4" i="3"/>
  <c r="BF10" i="3"/>
  <c r="BH14" i="3"/>
  <c r="BE14" i="3"/>
  <c r="BB14" i="3"/>
  <c r="AY14" i="3"/>
  <c r="BD12" i="3"/>
  <c r="BI12" i="3" s="1"/>
  <c r="BI13" i="3" s="1"/>
  <c r="AX12" i="3"/>
  <c r="BC12" i="3" s="1"/>
  <c r="BC13" i="3" s="1"/>
  <c r="BD10" i="3"/>
  <c r="AX10" i="3"/>
  <c r="BC10" i="3" s="1"/>
  <c r="BC11" i="3" s="1"/>
  <c r="BD8" i="3"/>
  <c r="BI8" i="3" s="1"/>
  <c r="BI9" i="3" s="1"/>
  <c r="AX8" i="3"/>
  <c r="BC8" i="3" s="1"/>
  <c r="BC9" i="3" s="1"/>
  <c r="BD6" i="3"/>
  <c r="BI6" i="3" s="1"/>
  <c r="BI7" i="3" s="1"/>
  <c r="AX6" i="3"/>
  <c r="BD4" i="3"/>
  <c r="BI4" i="3" s="1"/>
  <c r="BI5" i="3" s="1"/>
  <c r="AX4" i="3"/>
  <c r="BC4" i="3" s="1"/>
  <c r="BC5" i="3" s="1"/>
  <c r="AV14" i="3"/>
  <c r="AS14" i="3"/>
  <c r="AR12" i="3"/>
  <c r="AW12" i="3" s="1"/>
  <c r="AW13" i="3" s="1"/>
  <c r="AR10" i="3"/>
  <c r="AW10" i="3" s="1"/>
  <c r="AW11" i="3" s="1"/>
  <c r="AR8" i="3"/>
  <c r="AW8" i="3" s="1"/>
  <c r="AW9" i="3" s="1"/>
  <c r="AR6" i="3"/>
  <c r="AW6" i="3" s="1"/>
  <c r="AW7" i="3" s="1"/>
  <c r="AR4" i="3"/>
  <c r="AP14" i="3"/>
  <c r="AM14" i="3"/>
  <c r="AL12" i="3"/>
  <c r="AQ12" i="3" s="1"/>
  <c r="AQ13" i="3" s="1"/>
  <c r="AL10" i="3"/>
  <c r="AQ10" i="3" s="1"/>
  <c r="AQ11" i="3" s="1"/>
  <c r="AL8" i="3"/>
  <c r="AQ8" i="3" s="1"/>
  <c r="AQ9" i="3" s="1"/>
  <c r="AL6" i="3"/>
  <c r="AQ6" i="3" s="1"/>
  <c r="AQ7" i="3" s="1"/>
  <c r="AL4" i="3"/>
  <c r="AQ4" i="3" s="1"/>
  <c r="AQ5" i="3" s="1"/>
  <c r="AJ14" i="3"/>
  <c r="AG14" i="3"/>
  <c r="AF12" i="3"/>
  <c r="AK12" i="3" s="1"/>
  <c r="AK13" i="3" s="1"/>
  <c r="AF10" i="3"/>
  <c r="AK10" i="3" s="1"/>
  <c r="AK11" i="3" s="1"/>
  <c r="AF8" i="3"/>
  <c r="AK8" i="3" s="1"/>
  <c r="AK9" i="3" s="1"/>
  <c r="AF6" i="3"/>
  <c r="AF4" i="3"/>
  <c r="AK4" i="3" s="1"/>
  <c r="AK5" i="3" s="1"/>
  <c r="AD14" i="3"/>
  <c r="AA14" i="3"/>
  <c r="Z12" i="3"/>
  <c r="AE12" i="3" s="1"/>
  <c r="AE13" i="3" s="1"/>
  <c r="Z10" i="3"/>
  <c r="AE10" i="3" s="1"/>
  <c r="AE11" i="3" s="1"/>
  <c r="Z8" i="3"/>
  <c r="AE8" i="3" s="1"/>
  <c r="AE9" i="3" s="1"/>
  <c r="Z6" i="3"/>
  <c r="Z4" i="3"/>
  <c r="AE4" i="3" s="1"/>
  <c r="AE5" i="3" s="1"/>
  <c r="X14" i="3"/>
  <c r="U14" i="3"/>
  <c r="T12" i="3"/>
  <c r="Y12" i="3" s="1"/>
  <c r="Y13" i="3" s="1"/>
  <c r="T8" i="3"/>
  <c r="Y8" i="3" s="1"/>
  <c r="Y9" i="3" s="1"/>
  <c r="T6" i="3"/>
  <c r="T4" i="3"/>
  <c r="Y4" i="3" s="1"/>
  <c r="Y5" i="3" s="1"/>
  <c r="L14" i="3"/>
  <c r="N12" i="3"/>
  <c r="S12" i="3" s="1"/>
  <c r="S13" i="3" s="1"/>
  <c r="N10" i="3"/>
  <c r="N8" i="3"/>
  <c r="N6" i="3"/>
  <c r="S6" i="3" s="1"/>
  <c r="S7" i="3" s="1"/>
  <c r="N4" i="3"/>
  <c r="O14" i="3"/>
  <c r="J8" i="3"/>
  <c r="F14" i="3"/>
  <c r="H12" i="3"/>
  <c r="M12" i="3" s="1"/>
  <c r="M13" i="3" s="1"/>
  <c r="H10" i="3"/>
  <c r="M10" i="3" s="1"/>
  <c r="M11" i="3" s="1"/>
  <c r="H8" i="3"/>
  <c r="M8" i="3" s="1"/>
  <c r="M9" i="3" s="1"/>
  <c r="H6" i="3"/>
  <c r="M6" i="3" s="1"/>
  <c r="M7" i="3" s="1"/>
  <c r="H4" i="3"/>
  <c r="M4" i="3" s="1"/>
  <c r="M5" i="3" s="1"/>
  <c r="G12" i="3"/>
  <c r="G13" i="3" s="1"/>
  <c r="G10" i="3"/>
  <c r="G11" i="3" s="1"/>
  <c r="G8" i="3"/>
  <c r="G9" i="3" s="1"/>
  <c r="I14" i="3"/>
  <c r="B14" i="3"/>
  <c r="D6" i="3"/>
  <c r="D4" i="3"/>
  <c r="E5" i="1"/>
  <c r="E6" i="1"/>
  <c r="BM10" i="7" l="1"/>
  <c r="BM9" i="7"/>
  <c r="BM4" i="7"/>
  <c r="BM8" i="7"/>
  <c r="BM7" i="7"/>
  <c r="BM11" i="7"/>
  <c r="BM12" i="7"/>
  <c r="BM5" i="7"/>
  <c r="BG4" i="7"/>
  <c r="BG12" i="7"/>
  <c r="BG5" i="7"/>
  <c r="BG6" i="7"/>
  <c r="K4" i="4"/>
  <c r="K6" i="4"/>
  <c r="BO12" i="7"/>
  <c r="BO13" i="7" s="1"/>
  <c r="M8" i="7"/>
  <c r="M9" i="7" s="1"/>
  <c r="AR14" i="7"/>
  <c r="H14" i="7"/>
  <c r="K8" i="7" s="1"/>
  <c r="AL14" i="7"/>
  <c r="AQ6" i="7"/>
  <c r="AQ7" i="7" s="1"/>
  <c r="N14" i="7"/>
  <c r="Q8" i="7" s="1"/>
  <c r="AW4" i="7"/>
  <c r="AW5" i="7" s="1"/>
  <c r="BI10" i="7"/>
  <c r="BI11" i="7" s="1"/>
  <c r="BD14" i="7"/>
  <c r="BP14" i="7"/>
  <c r="BI4" i="7"/>
  <c r="BI5" i="7" s="1"/>
  <c r="BU8" i="7"/>
  <c r="BU9" i="7" s="1"/>
  <c r="BC5" i="7"/>
  <c r="AK5" i="7"/>
  <c r="K6" i="7"/>
  <c r="K11" i="7"/>
  <c r="K7" i="7"/>
  <c r="K10" i="7"/>
  <c r="K9" i="7"/>
  <c r="R10" i="7"/>
  <c r="S7" i="7"/>
  <c r="Q9" i="7"/>
  <c r="Q11" i="7"/>
  <c r="S4" i="7"/>
  <c r="BO4" i="7"/>
  <c r="S8" i="7"/>
  <c r="S9" i="7" s="1"/>
  <c r="BC10" i="7"/>
  <c r="BC11" i="7" s="1"/>
  <c r="K12" i="7"/>
  <c r="AQ12" i="7"/>
  <c r="AQ13" i="7" s="1"/>
  <c r="BU12" i="7"/>
  <c r="BU13" i="7" s="1"/>
  <c r="C14" i="7"/>
  <c r="AF14" i="7"/>
  <c r="Y5" i="7"/>
  <c r="BU5" i="7"/>
  <c r="BJ14" i="7"/>
  <c r="AX14" i="7"/>
  <c r="Z14" i="7"/>
  <c r="I29" i="3"/>
  <c r="F29" i="3"/>
  <c r="E29" i="4"/>
  <c r="K51" i="4"/>
  <c r="Q55" i="4"/>
  <c r="K49" i="4"/>
  <c r="K53" i="4"/>
  <c r="Q47" i="4"/>
  <c r="Q49" i="4"/>
  <c r="Q51" i="4"/>
  <c r="Q33" i="4"/>
  <c r="Q35" i="4"/>
  <c r="Q37" i="4"/>
  <c r="G49" i="4"/>
  <c r="G50" i="4" s="1"/>
  <c r="M47" i="4"/>
  <c r="M48" i="4" s="1"/>
  <c r="S53" i="4"/>
  <c r="S54" i="4" s="1"/>
  <c r="B57" i="4"/>
  <c r="G47" i="4"/>
  <c r="S43" i="4"/>
  <c r="G34" i="4"/>
  <c r="B43" i="4"/>
  <c r="M33" i="4"/>
  <c r="H43" i="4"/>
  <c r="M20" i="4"/>
  <c r="B29" i="4"/>
  <c r="S20" i="4"/>
  <c r="N29" i="4"/>
  <c r="BO12" i="4"/>
  <c r="BO13" i="4" s="1"/>
  <c r="AR14" i="4"/>
  <c r="AU6" i="4" s="1"/>
  <c r="C14" i="4"/>
  <c r="E10" i="4" s="1"/>
  <c r="M8" i="4"/>
  <c r="M9" i="4" s="1"/>
  <c r="BD14" i="4"/>
  <c r="BG8" i="4" s="1"/>
  <c r="BI4" i="4"/>
  <c r="BI5" i="4" s="1"/>
  <c r="AX14" i="4"/>
  <c r="BA6" i="4" s="1"/>
  <c r="AU10" i="4"/>
  <c r="AW10" i="4"/>
  <c r="AW11" i="4" s="1"/>
  <c r="AQ8" i="4"/>
  <c r="AQ9" i="4" s="1"/>
  <c r="AK6" i="4"/>
  <c r="AK7" i="4" s="1"/>
  <c r="AF14" i="4"/>
  <c r="AI4" i="4" s="1"/>
  <c r="BP14" i="4"/>
  <c r="BS8" i="4" s="1"/>
  <c r="H14" i="4"/>
  <c r="AL14" i="4"/>
  <c r="AO12" i="4" s="1"/>
  <c r="E11" i="4"/>
  <c r="R10" i="4"/>
  <c r="S7" i="4"/>
  <c r="BO5" i="4"/>
  <c r="BS6" i="4"/>
  <c r="BG12" i="4"/>
  <c r="S5" i="4"/>
  <c r="E9" i="4"/>
  <c r="AE4" i="4"/>
  <c r="AE5" i="4" s="1"/>
  <c r="AU4" i="4"/>
  <c r="BG6" i="4"/>
  <c r="AW8" i="4"/>
  <c r="AW9" i="4" s="1"/>
  <c r="BC10" i="4"/>
  <c r="BC11" i="4" s="1"/>
  <c r="BI12" i="4"/>
  <c r="BI13" i="4" s="1"/>
  <c r="BX12" i="4" s="1" a="1"/>
  <c r="BX12" i="4" s="1"/>
  <c r="N14" i="4"/>
  <c r="Q8" i="4" s="1"/>
  <c r="BJ14" i="4"/>
  <c r="BM10" i="4" s="1"/>
  <c r="AW4" i="4"/>
  <c r="M5" i="4"/>
  <c r="E8" i="4"/>
  <c r="AI8" i="4"/>
  <c r="AO10" i="4"/>
  <c r="BS10" i="4"/>
  <c r="AU12" i="4"/>
  <c r="E7" i="4"/>
  <c r="Z14" i="4"/>
  <c r="AC8" i="4" s="1"/>
  <c r="E4" i="4"/>
  <c r="BG10" i="4"/>
  <c r="AI12" i="4"/>
  <c r="BS4" i="4"/>
  <c r="E12" i="4"/>
  <c r="E6" i="4"/>
  <c r="G18" i="3"/>
  <c r="BV12" i="3" a="1"/>
  <c r="BV12" i="3" s="1"/>
  <c r="F22" i="3" s="1"/>
  <c r="G19" i="3"/>
  <c r="R10" i="3"/>
  <c r="T10" i="3" s="1"/>
  <c r="Y10" i="3" s="1"/>
  <c r="Y11" i="3" s="1"/>
  <c r="S8" i="3"/>
  <c r="S9" i="3" s="1"/>
  <c r="AF14" i="3"/>
  <c r="AI4" i="3" s="1"/>
  <c r="AR14" i="3"/>
  <c r="AU4" i="3" s="1"/>
  <c r="C14" i="3"/>
  <c r="AW4" i="3"/>
  <c r="AW5" i="3" s="1"/>
  <c r="BJ14" i="3"/>
  <c r="BM10" i="3" s="1"/>
  <c r="BO12" i="3"/>
  <c r="BO13" i="3" s="1"/>
  <c r="BO4" i="3"/>
  <c r="BO5" i="3" s="1"/>
  <c r="BP14" i="3"/>
  <c r="BS8" i="3" s="1"/>
  <c r="BI10" i="3"/>
  <c r="BI11" i="3" s="1"/>
  <c r="BC6" i="3"/>
  <c r="BC7" i="3" s="1"/>
  <c r="BD14" i="3"/>
  <c r="BG6" i="3" s="1"/>
  <c r="AX14" i="3"/>
  <c r="AL14" i="3"/>
  <c r="AO4" i="3" s="1"/>
  <c r="AK6" i="3"/>
  <c r="AK7" i="3" s="1"/>
  <c r="AE6" i="3"/>
  <c r="AE7" i="3" s="1"/>
  <c r="Z14" i="3"/>
  <c r="AC10" i="3" s="1"/>
  <c r="Y6" i="3"/>
  <c r="Y7" i="3" s="1"/>
  <c r="N14" i="3"/>
  <c r="S4" i="3"/>
  <c r="S5" i="3" s="1"/>
  <c r="G4" i="3"/>
  <c r="G5" i="3" s="1"/>
  <c r="G6" i="3"/>
  <c r="G7" i="3" s="1"/>
  <c r="H14" i="3"/>
  <c r="K3" i="2"/>
  <c r="K2" i="2"/>
  <c r="E28" i="2"/>
  <c r="E8" i="2"/>
  <c r="M16" i="2"/>
  <c r="M15" i="2"/>
  <c r="M14" i="2"/>
  <c r="M10" i="2"/>
  <c r="L14" i="2"/>
  <c r="K19" i="2"/>
  <c r="L19" i="2" s="1"/>
  <c r="J19" i="2"/>
  <c r="M19" i="2" s="1"/>
  <c r="K18" i="2"/>
  <c r="L18" i="2" s="1"/>
  <c r="J18" i="2"/>
  <c r="M18" i="2" s="1"/>
  <c r="K17" i="2"/>
  <c r="L17" i="2" s="1"/>
  <c r="J17" i="2"/>
  <c r="M17" i="2" s="1"/>
  <c r="K16" i="2"/>
  <c r="L16" i="2" s="1"/>
  <c r="J16" i="2"/>
  <c r="K15" i="2"/>
  <c r="L15" i="2" s="1"/>
  <c r="J15" i="2"/>
  <c r="K14" i="2"/>
  <c r="J14" i="2"/>
  <c r="K13" i="2"/>
  <c r="L13" i="2" s="1"/>
  <c r="J13" i="2"/>
  <c r="M13" i="2" s="1"/>
  <c r="K12" i="2"/>
  <c r="L12" i="2" s="1"/>
  <c r="J12" i="2"/>
  <c r="M12" i="2" s="1"/>
  <c r="K11" i="2"/>
  <c r="L11" i="2" s="1"/>
  <c r="J11" i="2"/>
  <c r="M11" i="2" s="1"/>
  <c r="K10" i="2"/>
  <c r="L10" i="2" s="1"/>
  <c r="J10" i="2"/>
  <c r="K9" i="2"/>
  <c r="L9" i="2" s="1"/>
  <c r="E27" i="2"/>
  <c r="L4" i="2" s="1"/>
  <c r="E26" i="2"/>
  <c r="E25" i="2"/>
  <c r="E24" i="2"/>
  <c r="L3" i="2"/>
  <c r="E17" i="2"/>
  <c r="E16" i="2"/>
  <c r="E15" i="2"/>
  <c r="E14" i="2"/>
  <c r="E7" i="2"/>
  <c r="E6" i="2"/>
  <c r="E5" i="2"/>
  <c r="L2" i="2" s="1"/>
  <c r="E4" i="2"/>
  <c r="D10" i="1"/>
  <c r="Q12" i="7" l="1"/>
  <c r="Q7" i="7"/>
  <c r="Q4" i="7"/>
  <c r="Q6" i="7"/>
  <c r="AQ14" i="7"/>
  <c r="AQ15" i="7" s="1"/>
  <c r="Q10" i="7"/>
  <c r="Q14" i="7" s="1"/>
  <c r="E6" i="7"/>
  <c r="BS14" i="7"/>
  <c r="K4" i="7"/>
  <c r="K14" i="7" s="1"/>
  <c r="BX12" i="7" a="1"/>
  <c r="BX12" i="7" s="1"/>
  <c r="E11" i="7"/>
  <c r="R14" i="7"/>
  <c r="T10" i="7"/>
  <c r="S10" i="7"/>
  <c r="S11" i="7" s="1"/>
  <c r="E10" i="7"/>
  <c r="E9" i="7"/>
  <c r="E8" i="7"/>
  <c r="E7" i="7"/>
  <c r="BO5" i="7"/>
  <c r="E12" i="7"/>
  <c r="S5" i="7"/>
  <c r="E4" i="7"/>
  <c r="E55" i="4"/>
  <c r="E53" i="4"/>
  <c r="E49" i="4"/>
  <c r="E51" i="4"/>
  <c r="E47" i="4"/>
  <c r="E39" i="4"/>
  <c r="E41" i="4"/>
  <c r="E37" i="4"/>
  <c r="E33" i="4"/>
  <c r="E35" i="4"/>
  <c r="K33" i="4"/>
  <c r="K35" i="4"/>
  <c r="K37" i="4"/>
  <c r="K41" i="4"/>
  <c r="K39" i="4"/>
  <c r="M29" i="4"/>
  <c r="M57" i="4"/>
  <c r="K57" i="4"/>
  <c r="G48" i="4"/>
  <c r="S57" i="4"/>
  <c r="Q57" i="4"/>
  <c r="M34" i="4"/>
  <c r="Q43" i="4"/>
  <c r="K29" i="4"/>
  <c r="BS12" i="4"/>
  <c r="BU14" i="4" s="1"/>
  <c r="BU15" i="4" s="1"/>
  <c r="BA10" i="4"/>
  <c r="K7" i="4"/>
  <c r="K14" i="4" s="1"/>
  <c r="AO4" i="4"/>
  <c r="BG4" i="4"/>
  <c r="BI14" i="4" s="1"/>
  <c r="BI15" i="4" s="1"/>
  <c r="BA4" i="4"/>
  <c r="BA8" i="4"/>
  <c r="AU8" i="4"/>
  <c r="AU14" i="4" s="1"/>
  <c r="BA12" i="4"/>
  <c r="K9" i="4"/>
  <c r="AO6" i="4"/>
  <c r="K11" i="4"/>
  <c r="AO8" i="4"/>
  <c r="AI6" i="4"/>
  <c r="AI10" i="4"/>
  <c r="AC10" i="4"/>
  <c r="AC6" i="4"/>
  <c r="Q9" i="4"/>
  <c r="Q12" i="4"/>
  <c r="Q11" i="4"/>
  <c r="Q7" i="4"/>
  <c r="BX6" i="4" s="1" a="1"/>
  <c r="Q10" i="4"/>
  <c r="AC12" i="4"/>
  <c r="S10" i="4"/>
  <c r="S11" i="4" s="1"/>
  <c r="R14" i="4"/>
  <c r="T10" i="4"/>
  <c r="BM6" i="4"/>
  <c r="BM4" i="4"/>
  <c r="AC4" i="4"/>
  <c r="Q6" i="4"/>
  <c r="AW5" i="4"/>
  <c r="BX4" i="4" s="1" a="1"/>
  <c r="BX4" i="4" s="1"/>
  <c r="BM8" i="4"/>
  <c r="BM12" i="4"/>
  <c r="Q4" i="4"/>
  <c r="G14" i="4"/>
  <c r="G15" i="4" s="1"/>
  <c r="E14" i="4"/>
  <c r="BV4" i="3" a="1"/>
  <c r="BV4" i="3" s="1"/>
  <c r="F18" i="3" s="1"/>
  <c r="BV6" i="3" a="1"/>
  <c r="BV6" i="3" s="1"/>
  <c r="F19" i="3" s="1"/>
  <c r="BV8" i="3" a="1"/>
  <c r="BV8" i="3" s="1"/>
  <c r="F20" i="3" s="1"/>
  <c r="S10" i="3"/>
  <c r="S11" i="3" s="1"/>
  <c r="T14" i="3"/>
  <c r="W8" i="3" s="1"/>
  <c r="R14" i="3"/>
  <c r="AI10" i="3"/>
  <c r="AU8" i="3"/>
  <c r="BM4" i="3"/>
  <c r="BG10" i="3"/>
  <c r="BS12" i="3"/>
  <c r="AU12" i="3"/>
  <c r="AC8" i="3"/>
  <c r="AI6" i="3"/>
  <c r="AI12" i="3"/>
  <c r="AC4" i="3"/>
  <c r="AI8" i="3"/>
  <c r="AC12" i="3"/>
  <c r="AU6" i="3"/>
  <c r="AC6" i="3"/>
  <c r="AU10" i="3"/>
  <c r="AO12" i="3"/>
  <c r="AO10" i="3"/>
  <c r="BM6" i="3"/>
  <c r="BM12" i="3"/>
  <c r="BM8" i="3"/>
  <c r="BS10" i="3"/>
  <c r="BS4" i="3"/>
  <c r="BS6" i="3"/>
  <c r="BG12" i="3"/>
  <c r="BG4" i="3"/>
  <c r="BA12" i="3"/>
  <c r="BA4" i="3"/>
  <c r="BA8" i="3"/>
  <c r="BA6" i="3"/>
  <c r="BA10" i="3"/>
  <c r="BG8" i="3"/>
  <c r="AO8" i="3"/>
  <c r="AO6" i="3"/>
  <c r="L5" i="2"/>
  <c r="M4" i="2" s="1"/>
  <c r="K5" i="2"/>
  <c r="K20" i="2"/>
  <c r="L20" i="2" s="1"/>
  <c r="E18" i="2"/>
  <c r="C19" i="2" s="1"/>
  <c r="C20" i="2" s="1"/>
  <c r="J3" i="2" s="1"/>
  <c r="C9" i="2"/>
  <c r="C10" i="2" s="1"/>
  <c r="J2" i="2" s="1"/>
  <c r="C29" i="2"/>
  <c r="D30" i="2" s="1"/>
  <c r="C30" i="2" s="1"/>
  <c r="J4" i="2" s="1"/>
  <c r="F5" i="1"/>
  <c r="BX6" i="4" l="1"/>
  <c r="AE14" i="7"/>
  <c r="AE15" i="7" s="1"/>
  <c r="S14" i="7"/>
  <c r="S15" i="7" s="1"/>
  <c r="M14" i="7"/>
  <c r="M15" i="7" s="1"/>
  <c r="BG14" i="7"/>
  <c r="BU14" i="7"/>
  <c r="BU15" i="7" s="1"/>
  <c r="BI14" i="7"/>
  <c r="BI15" i="7" s="1"/>
  <c r="AU14" i="7"/>
  <c r="AW14" i="7"/>
  <c r="AW15" i="7" s="1"/>
  <c r="BO14" i="7"/>
  <c r="BO15" i="7" s="1"/>
  <c r="BA14" i="7"/>
  <c r="BC14" i="7"/>
  <c r="BC15" i="7" s="1"/>
  <c r="E14" i="7"/>
  <c r="G14" i="7"/>
  <c r="G15" i="7" s="1"/>
  <c r="AK14" i="7"/>
  <c r="AK15" i="7" s="1"/>
  <c r="Y10" i="7"/>
  <c r="Y11" i="7" s="1"/>
  <c r="T14" i="7"/>
  <c r="W10" i="7" s="1"/>
  <c r="BX4" i="7" a="1"/>
  <c r="BX4" i="7" s="1"/>
  <c r="BM14" i="7"/>
  <c r="E57" i="4"/>
  <c r="BS14" i="4"/>
  <c r="K43" i="4"/>
  <c r="E43" i="4"/>
  <c r="BA14" i="4"/>
  <c r="G43" i="4"/>
  <c r="G29" i="4"/>
  <c r="AK14" i="4"/>
  <c r="AK15" i="4" s="1"/>
  <c r="G57" i="4"/>
  <c r="M43" i="4"/>
  <c r="BG14" i="4"/>
  <c r="BC14" i="4"/>
  <c r="BC15" i="4" s="1"/>
  <c r="AO14" i="4"/>
  <c r="BX8" i="4" a="1"/>
  <c r="BX8" i="4" s="1"/>
  <c r="AI14" i="4"/>
  <c r="M14" i="4"/>
  <c r="M15" i="4" s="1"/>
  <c r="AQ14" i="4"/>
  <c r="AQ15" i="4" s="1"/>
  <c r="AW14" i="4"/>
  <c r="AW15" i="4" s="1"/>
  <c r="Q14" i="4"/>
  <c r="S14" i="4"/>
  <c r="S15" i="4" s="1"/>
  <c r="AC14" i="4"/>
  <c r="AE14" i="4"/>
  <c r="AE15" i="4" s="1"/>
  <c r="BM14" i="4"/>
  <c r="BO14" i="4"/>
  <c r="BO15" i="4" s="1"/>
  <c r="Y10" i="4"/>
  <c r="Y11" i="4" s="1"/>
  <c r="BX10" i="4" s="1" a="1"/>
  <c r="BX10" i="4" s="1"/>
  <c r="T14" i="4"/>
  <c r="BV10" i="3" a="1"/>
  <c r="BV10" i="3" s="1"/>
  <c r="F21" i="3" s="1"/>
  <c r="W10" i="3"/>
  <c r="W12" i="3"/>
  <c r="W6" i="3"/>
  <c r="W4" i="3"/>
  <c r="M2" i="2"/>
  <c r="AI14" i="3"/>
  <c r="E14" i="3"/>
  <c r="G14" i="3"/>
  <c r="G15" i="3" s="1"/>
  <c r="AK14" i="3"/>
  <c r="AK15" i="3" s="1"/>
  <c r="AQ14" i="3"/>
  <c r="AQ15" i="3" s="1"/>
  <c r="AC14" i="3"/>
  <c r="AU14" i="3"/>
  <c r="AE14" i="3"/>
  <c r="AE15" i="3" s="1"/>
  <c r="AW14" i="3"/>
  <c r="AW15" i="3" s="1"/>
  <c r="BO14" i="3"/>
  <c r="BO15" i="3" s="1"/>
  <c r="BM14" i="3"/>
  <c r="AO14" i="3"/>
  <c r="BU14" i="3"/>
  <c r="BU15" i="3" s="1"/>
  <c r="BS14" i="3"/>
  <c r="BG14" i="3"/>
  <c r="BI14" i="3"/>
  <c r="BI15" i="3" s="1"/>
  <c r="BC14" i="3"/>
  <c r="BC15" i="3" s="1"/>
  <c r="BA14" i="3"/>
  <c r="S14" i="3"/>
  <c r="S15" i="3" s="1"/>
  <c r="Q14" i="3"/>
  <c r="M14" i="3"/>
  <c r="M15" i="3" s="1"/>
  <c r="K14" i="3"/>
  <c r="G10" i="1"/>
  <c r="M3" i="2"/>
  <c r="J21" i="2"/>
  <c r="J22" i="2" s="1"/>
  <c r="F10" i="1"/>
  <c r="W7" i="7" l="1"/>
  <c r="BX6" i="7" s="1" a="1"/>
  <c r="BX6" i="7" s="1"/>
  <c r="W9" i="7"/>
  <c r="BX8" i="7" s="1" a="1"/>
  <c r="BX8" i="7" s="1"/>
  <c r="W6" i="7"/>
  <c r="W11" i="7"/>
  <c r="BX10" i="7" s="1" a="1"/>
  <c r="BX10" i="7" s="1"/>
  <c r="W4" i="7"/>
  <c r="W12" i="7"/>
  <c r="W8" i="7"/>
  <c r="Q20" i="4"/>
  <c r="Y14" i="3"/>
  <c r="Y15" i="3" s="1"/>
  <c r="BV14" i="3" s="1" a="1"/>
  <c r="W14" i="3"/>
  <c r="M5" i="2"/>
  <c r="J5" i="2"/>
  <c r="W14" i="7" l="1"/>
  <c r="Y14" i="7"/>
  <c r="Y15" i="7" s="1"/>
  <c r="BX14" i="7" s="1" a="1"/>
  <c r="BX14" i="7" s="1"/>
  <c r="Q29" i="4"/>
  <c r="S29" i="4"/>
  <c r="W14" i="4"/>
  <c r="Y14" i="4"/>
  <c r="Y15" i="4" s="1"/>
  <c r="BX14" i="4" s="1" a="1"/>
  <c r="BX14" i="4" s="1"/>
  <c r="BV14" i="3"/>
</calcChain>
</file>

<file path=xl/sharedStrings.xml><?xml version="1.0" encoding="utf-8"?>
<sst xmlns="http://schemas.openxmlformats.org/spreadsheetml/2006/main" count="673" uniqueCount="107">
  <si>
    <t>Portfolio</t>
  </si>
  <si>
    <t>C</t>
  </si>
  <si>
    <t>A</t>
  </si>
  <si>
    <t>B</t>
  </si>
  <si>
    <t>D</t>
  </si>
  <si>
    <t>E</t>
  </si>
  <si>
    <t>Total</t>
  </si>
  <si>
    <t>GP A</t>
  </si>
  <si>
    <t>General Partnership A</t>
  </si>
  <si>
    <t>Start Date</t>
  </si>
  <si>
    <t>End Date</t>
  </si>
  <si>
    <t>CF #1</t>
  </si>
  <si>
    <t>CF #2</t>
  </si>
  <si>
    <t>CF #3</t>
  </si>
  <si>
    <t>Dates</t>
  </si>
  <si>
    <t>CF Wts</t>
  </si>
  <si>
    <t>Mod Dietz</t>
  </si>
  <si>
    <t>Amounts</t>
  </si>
  <si>
    <t>For Modified Dietz</t>
  </si>
  <si>
    <t>IRR</t>
  </si>
  <si>
    <t>General Partnership B</t>
  </si>
  <si>
    <t>General Partnership C</t>
  </si>
  <si>
    <t>Combined GPs</t>
  </si>
  <si>
    <t>CF #4</t>
  </si>
  <si>
    <t>CF #5</t>
  </si>
  <si>
    <t>CF #6</t>
  </si>
  <si>
    <t>CF #7</t>
  </si>
  <si>
    <t>CF #8</t>
  </si>
  <si>
    <t>CF #9</t>
  </si>
  <si>
    <t>CF #10</t>
  </si>
  <si>
    <t>GP B</t>
  </si>
  <si>
    <t>GP C</t>
  </si>
  <si>
    <t>Wt</t>
  </si>
  <si>
    <t>Wtd CFs</t>
  </si>
  <si>
    <t>Weights</t>
  </si>
  <si>
    <t>Asset Wtd IRR</t>
  </si>
  <si>
    <t>For Grp</t>
  </si>
  <si>
    <t>January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</si>
  <si>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</si>
  <si>
    <t>Cash Flow</t>
  </si>
  <si>
    <t>CF Weight</t>
  </si>
  <si>
    <t>Overall Weight</t>
  </si>
  <si>
    <t>Return</t>
  </si>
  <si>
    <t>February</t>
  </si>
  <si>
    <t>March</t>
  </si>
  <si>
    <r>
      <t>V</t>
    </r>
    <r>
      <rPr>
        <vertAlign val="subscript"/>
        <sz val="11"/>
        <color theme="1"/>
        <rFont val="Calibri"/>
        <family val="2"/>
        <scheme val="minor"/>
      </rPr>
      <t>E</t>
    </r>
  </si>
  <si>
    <t>April</t>
  </si>
  <si>
    <t>June</t>
  </si>
  <si>
    <t>May</t>
  </si>
  <si>
    <t>July</t>
  </si>
  <si>
    <t>August</t>
  </si>
  <si>
    <t>September</t>
  </si>
  <si>
    <t>October</t>
  </si>
  <si>
    <t>November</t>
  </si>
  <si>
    <t>December</t>
  </si>
  <si>
    <t>Cash Flows with Weights Annualized</t>
  </si>
  <si>
    <t>CF Date</t>
  </si>
  <si>
    <t>Annual Return</t>
  </si>
  <si>
    <t>Grand Totals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</si>
  <si>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</si>
  <si>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Composite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</si>
  <si>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E</t>
    </r>
  </si>
  <si>
    <t>CF Wt</t>
  </si>
  <si>
    <t>Annual Returns</t>
  </si>
  <si>
    <t>Need to do this … measure IRR across the entire portfolio</t>
  </si>
  <si>
    <t>TWR Group</t>
  </si>
  <si>
    <t>IRR Group</t>
  </si>
  <si>
    <t>Annual TWR</t>
  </si>
  <si>
    <t>Annual IRR</t>
  </si>
  <si>
    <t>Wtd Cash Flows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</si>
  <si>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+ Wtd CFs</t>
    </r>
  </si>
  <si>
    <t>V0</t>
  </si>
  <si>
    <t>V0 + Wtd CFs</t>
  </si>
  <si>
    <t>IRR Account Cash Flows</t>
  </si>
  <si>
    <t>CF A</t>
  </si>
  <si>
    <t>CF B</t>
  </si>
  <si>
    <t>CF C</t>
  </si>
  <si>
    <t>CF D</t>
  </si>
  <si>
    <t>CF E</t>
  </si>
  <si>
    <t>TWR Cash Flows</t>
  </si>
  <si>
    <t>VE</t>
  </si>
  <si>
    <t xml:space="preserve">GPs VE = </t>
  </si>
  <si>
    <t>Entire Plan's Assets</t>
  </si>
  <si>
    <t>Public Assets</t>
  </si>
  <si>
    <t>TWR</t>
  </si>
  <si>
    <t>Asset-weight portfolios</t>
  </si>
  <si>
    <t>How the managers performed as a group</t>
  </si>
  <si>
    <t>Aggregate</t>
  </si>
  <si>
    <t>Year</t>
  </si>
  <si>
    <t>Aggregation</t>
  </si>
  <si>
    <t>Aggregate Method</t>
  </si>
  <si>
    <t>Private Assets</t>
  </si>
  <si>
    <t>How the private asset managers performed as a group</t>
  </si>
  <si>
    <t>How the private assets/investments performed</t>
  </si>
  <si>
    <t>Method</t>
  </si>
  <si>
    <t>Table</t>
  </si>
  <si>
    <t>Both Public &amp; Private</t>
  </si>
  <si>
    <t>How did we, the managers chosen by the fund, perform</t>
  </si>
  <si>
    <t>Both</t>
  </si>
  <si>
    <t>How the plan or investors do</t>
  </si>
  <si>
    <t>Different Approaches Yield Different Results and Answer Different Questions</t>
  </si>
  <si>
    <t>Question Answered</t>
  </si>
  <si>
    <t>Asset Types</t>
  </si>
  <si>
    <t>Return Type</t>
  </si>
  <si>
    <t>Unsure/Unclear</t>
  </si>
  <si>
    <t>How the public asset managers performed as a group</t>
  </si>
  <si>
    <t>How the public assets/investments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</si>
</sst>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43" fontId="0" fillId="0" borderId="1" xfId="0" applyNumberFormat="1" applyBorder="1"/>
    <xf numFmtId="10" fontId="0" fillId="0" borderId="1" xfId="2" applyNumberFormat="1" applyFont="1" applyBorder="1"/>
    <xf numFmtId="10" fontId="0" fillId="0" borderId="1" xfId="0" applyNumberFormat="1" applyBorder="1"/>
    <xf numFmtId="14" fontId="0" fillId="0" borderId="0" xfId="0" applyNumberFormat="1"/>
    <xf numFmtId="10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2" borderId="1" xfId="0" applyNumberFormat="1" applyFill="1" applyBorder="1"/>
    <xf numFmtId="43" fontId="0" fillId="2" borderId="1" xfId="0" applyNumberFormat="1" applyFill="1" applyBorder="1" applyAlignment="1">
      <alignment horizontal="center"/>
    </xf>
    <xf numFmtId="10" fontId="0" fillId="2" borderId="1" xfId="2" applyNumberFormat="1" applyFont="1" applyFill="1" applyBorder="1"/>
    <xf numFmtId="10" fontId="0" fillId="2" borderId="1" xfId="2" applyNumberFormat="1" applyFont="1" applyFill="1" applyBorder="1" applyAlignment="1">
      <alignment horizontal="center"/>
    </xf>
    <xf numFmtId="10" fontId="0" fillId="2" borderId="1" xfId="0" applyNumberFormat="1" applyFill="1" applyBorder="1"/>
    <xf numFmtId="10" fontId="0" fillId="0" borderId="1" xfId="2" applyNumberFormat="1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/>
    </xf>
    <xf numFmtId="43" fontId="0" fillId="2" borderId="1" xfId="0" applyNumberFormat="1" applyFill="1" applyBorder="1"/>
    <xf numFmtId="164" fontId="0" fillId="0" borderId="1" xfId="1" applyNumberFormat="1" applyFont="1" applyFill="1" applyBorder="1"/>
    <xf numFmtId="14" fontId="0" fillId="0" borderId="1" xfId="1" applyNumberFormat="1" applyFont="1" applyFill="1" applyBorder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10" fontId="0" fillId="0" borderId="0" xfId="2" applyNumberFormat="1" applyFont="1" applyAlignment="1">
      <alignment vertical="center"/>
    </xf>
    <xf numFmtId="165" fontId="0" fillId="0" borderId="1" xfId="2" applyNumberFormat="1" applyFont="1" applyBorder="1"/>
    <xf numFmtId="10" fontId="0" fillId="0" borderId="0" xfId="2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4" borderId="0" xfId="0" applyFill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43" fontId="0" fillId="4" borderId="1" xfId="0" applyNumberFormat="1" applyFill="1" applyBorder="1"/>
    <xf numFmtId="10" fontId="0" fillId="4" borderId="1" xfId="2" applyNumberFormat="1" applyFont="1" applyFill="1" applyBorder="1"/>
    <xf numFmtId="10" fontId="0" fillId="4" borderId="1" xfId="2" applyNumberFormat="1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1" applyNumberFormat="1" applyFont="1" applyFill="1" applyBorder="1"/>
    <xf numFmtId="10" fontId="2" fillId="4" borderId="1" xfId="0" applyNumberFormat="1" applyFont="1" applyFill="1" applyBorder="1"/>
    <xf numFmtId="10" fontId="2" fillId="4" borderId="1" xfId="2" applyNumberFormat="1" applyFont="1" applyFill="1" applyBorder="1" applyAlignment="1">
      <alignment horizontal="center"/>
    </xf>
    <xf numFmtId="10" fontId="0" fillId="5" borderId="1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Border="1"/>
    <xf numFmtId="164" fontId="2" fillId="0" borderId="1" xfId="1" applyNumberFormat="1" applyFont="1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vertical="center" textRotation="90"/>
    </xf>
    <xf numFmtId="10" fontId="0" fillId="0" borderId="0" xfId="2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4" fontId="0" fillId="0" borderId="1" xfId="0" applyNumberFormat="1" applyFill="1" applyBorder="1"/>
    <xf numFmtId="10" fontId="0" fillId="0" borderId="1" xfId="2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10" fontId="0" fillId="0" borderId="1" xfId="0" applyNumberFormat="1" applyFill="1" applyBorder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3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164" fontId="0" fillId="0" borderId="1" xfId="0" applyNumberFormat="1" applyFill="1" applyBorder="1" applyAlignment="1">
      <alignment horizontal="center"/>
    </xf>
    <xf numFmtId="10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12A7-58D1-47E1-A804-0F89AA05B153}">
  <dimension ref="A2:H13"/>
  <sheetViews>
    <sheetView zoomScale="235" zoomScaleNormal="235" workbookViewId="0">
      <selection activeCell="J11" sqref="J11"/>
    </sheetView>
  </sheetViews>
  <sheetFormatPr defaultRowHeight="15" x14ac:dyDescent="0.25"/>
  <cols>
    <col min="2" max="3" width="10.5703125" bestFit="1" customWidth="1"/>
    <col min="4" max="4" width="9" bestFit="1" customWidth="1"/>
    <col min="5" max="5" width="7.28515625" customWidth="1"/>
    <col min="6" max="6" width="8.140625" bestFit="1" customWidth="1"/>
    <col min="7" max="7" width="7" bestFit="1" customWidth="1"/>
  </cols>
  <sheetData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70" t="s">
        <v>37</v>
      </c>
      <c r="D3" s="70"/>
      <c r="E3" s="70"/>
      <c r="F3" s="70"/>
      <c r="G3" s="70"/>
      <c r="H3" s="40"/>
    </row>
    <row r="4" spans="1:8" ht="30" customHeight="1" x14ac:dyDescent="0.25">
      <c r="A4" s="40"/>
      <c r="B4" s="41" t="s">
        <v>0</v>
      </c>
      <c r="C4" s="42" t="s">
        <v>59</v>
      </c>
      <c r="D4" s="43" t="s">
        <v>39</v>
      </c>
      <c r="E4" s="43" t="s">
        <v>40</v>
      </c>
      <c r="F4" s="43" t="s">
        <v>41</v>
      </c>
      <c r="G4" s="42" t="s">
        <v>42</v>
      </c>
      <c r="H4" s="40"/>
    </row>
    <row r="5" spans="1:8" x14ac:dyDescent="0.25">
      <c r="A5" s="40"/>
      <c r="B5" s="44" t="s">
        <v>2</v>
      </c>
      <c r="C5" s="45">
        <v>1100000</v>
      </c>
      <c r="D5" s="46">
        <v>50000</v>
      </c>
      <c r="E5" s="47">
        <f>(31-5+1)/31</f>
        <v>0.87096774193548387</v>
      </c>
      <c r="F5" s="48">
        <f>(C5+E5*D5)/SUM($C$10:$D$10)</f>
        <v>0.19289367722276637</v>
      </c>
      <c r="G5" s="49">
        <f>Mixed!G4</f>
        <v>4.8533145275035258E-2</v>
      </c>
      <c r="H5" s="40"/>
    </row>
    <row r="6" spans="1:8" x14ac:dyDescent="0.25">
      <c r="A6" s="40"/>
      <c r="B6" s="44" t="s">
        <v>3</v>
      </c>
      <c r="C6" s="45">
        <v>1150000</v>
      </c>
      <c r="D6" s="46">
        <v>100000</v>
      </c>
      <c r="E6" s="47">
        <f>(31-15+1)/31</f>
        <v>0.54838709677419351</v>
      </c>
      <c r="F6" s="48">
        <f>(C6+E6*D6)/SUM($C$10:$D$10)</f>
        <v>0.20323212536728699</v>
      </c>
      <c r="G6" s="49">
        <f>Mixed!G6</f>
        <v>9.9598393574297193E-3</v>
      </c>
      <c r="H6" s="40"/>
    </row>
    <row r="7" spans="1:8" x14ac:dyDescent="0.25">
      <c r="A7" s="40"/>
      <c r="B7" s="44" t="s">
        <v>1</v>
      </c>
      <c r="C7" s="45">
        <v>1170000</v>
      </c>
      <c r="D7" s="46"/>
      <c r="E7" s="46"/>
      <c r="F7" s="48">
        <f>(C7+E7*D7)/SUM($C$10:$D$10)</f>
        <v>0.19735553379040158</v>
      </c>
      <c r="G7" s="49">
        <f>Mixed!G8</f>
        <v>4.2735042735042739E-3</v>
      </c>
      <c r="H7" s="40"/>
    </row>
    <row r="8" spans="1:8" x14ac:dyDescent="0.25">
      <c r="A8" s="40"/>
      <c r="B8" s="44" t="s">
        <v>4</v>
      </c>
      <c r="C8" s="46">
        <v>1200000</v>
      </c>
      <c r="D8" s="46"/>
      <c r="E8" s="46"/>
      <c r="F8" s="48">
        <f>(C8+E8*D8)/SUM($C$10:$D$10)</f>
        <v>0.20241593209271955</v>
      </c>
      <c r="G8" s="49">
        <f>Mixed!G10</f>
        <v>4.1666666666666666E-3</v>
      </c>
      <c r="H8" s="40"/>
    </row>
    <row r="9" spans="1:8" x14ac:dyDescent="0.25">
      <c r="A9" s="40"/>
      <c r="B9" s="44" t="s">
        <v>5</v>
      </c>
      <c r="C9" s="46">
        <v>1210000</v>
      </c>
      <c r="D9" s="46"/>
      <c r="E9" s="46"/>
      <c r="F9" s="48">
        <f>(C9+E9*D9)/SUM($C$10:$D$10)</f>
        <v>0.20410273152682556</v>
      </c>
      <c r="G9" s="49">
        <f>Mixed!G12</f>
        <v>5.7851239669421484E-3</v>
      </c>
      <c r="H9" s="40"/>
    </row>
    <row r="10" spans="1:8" x14ac:dyDescent="0.25">
      <c r="A10" s="40"/>
      <c r="B10" s="50" t="s">
        <v>60</v>
      </c>
      <c r="C10" s="51">
        <f>SUM(C5:C9)</f>
        <v>5830000</v>
      </c>
      <c r="D10" s="52">
        <f>D5*E5+D6*E6</f>
        <v>98387.096774193546</v>
      </c>
      <c r="E10" s="52"/>
      <c r="F10" s="53">
        <f>SUM(F5:F9)</f>
        <v>1</v>
      </c>
      <c r="G10" s="54">
        <f>SUMPRODUCT(F5:F9,G5:G9)</f>
        <v>1.425345521819567E-2</v>
      </c>
      <c r="H10" s="40"/>
    </row>
    <row r="11" spans="1:8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40"/>
      <c r="B12" s="40"/>
      <c r="C12" s="40"/>
      <c r="D12" s="40"/>
      <c r="E12" s="40"/>
      <c r="F12" s="40"/>
      <c r="G12" s="40"/>
      <c r="H12" s="40"/>
    </row>
    <row r="13" spans="1:8" x14ac:dyDescent="0.25">
      <c r="A13" s="40"/>
      <c r="B13" s="40"/>
      <c r="C13" s="40"/>
      <c r="D13" s="40"/>
      <c r="E13" s="40"/>
      <c r="F13" s="40"/>
      <c r="G13" s="40"/>
      <c r="H13" s="40"/>
    </row>
  </sheetData>
  <mergeCells count="1">
    <mergeCell ref="C3:G3"/>
  </mergeCells>
  <pageMargins left="0.7" right="0.7" top="0.75" bottom="0.75" header="0.3" footer="0.3"/>
  <pageSetup orientation="portrait" r:id="rId1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4274-A878-4CB6-9042-A4ABD7464D1C}">
  <dimension ref="A1:BX57"/>
  <sheetViews>
    <sheetView zoomScale="205" zoomScaleNormal="205" workbookViewId="0">
      <selection activeCell="O14" sqref="O14"/>
    </sheetView>
  </sheetViews>
  <sheetFormatPr defaultRowHeight="15" x14ac:dyDescent="0.25"/>
  <cols>
    <col min="1" max="1" width="10.42578125" customWidth="1"/>
    <col min="2" max="2" width="10.5703125" bestFit="1" customWidth="1"/>
    <col min="3" max="3" width="9" bestFit="1" customWidth="1"/>
    <col min="4" max="4" width="6" customWidth="1"/>
    <col min="6" max="8" width="10.5703125" bestFit="1" customWidth="1"/>
    <col min="9" max="9" width="9.140625" customWidth="1"/>
    <col min="10" max="10" width="6.85546875" customWidth="1"/>
    <col min="11" max="11" width="9.140625" customWidth="1"/>
    <col min="12" max="12" width="10.5703125" bestFit="1" customWidth="1"/>
    <col min="13" max="13" width="9.140625" customWidth="1"/>
    <col min="14" max="14" width="10.5703125" bestFit="1" customWidth="1"/>
    <col min="15" max="15" width="6" customWidth="1"/>
    <col min="16" max="16" width="9.140625" hidden="1" customWidth="1"/>
    <col min="17" max="17" width="9.140625" customWidth="1"/>
    <col min="18" max="18" width="10.5703125" bestFit="1" customWidth="1"/>
    <col min="19" max="19" width="9.140625" customWidth="1"/>
    <col min="20" max="20" width="10.5703125" hidden="1" customWidth="1"/>
    <col min="21" max="21" width="8" hidden="1" customWidth="1"/>
    <col min="22" max="22" width="7.42578125" hidden="1" customWidth="1"/>
    <col min="23" max="23" width="9.140625" hidden="1" customWidth="1"/>
    <col min="24" max="24" width="10.5703125" hidden="1" customWidth="1"/>
    <col min="25" max="25" width="7" hidden="1" customWidth="1"/>
    <col min="26" max="26" width="10.5703125" hidden="1" customWidth="1"/>
    <col min="27" max="29" width="9.140625" hidden="1" customWidth="1"/>
    <col min="30" max="30" width="10.5703125" hidden="1" customWidth="1"/>
    <col min="31" max="31" width="9.140625" hidden="1" customWidth="1"/>
    <col min="32" max="32" width="10.5703125" hidden="1" customWidth="1"/>
    <col min="33" max="35" width="9.140625" hidden="1" customWidth="1"/>
    <col min="36" max="36" width="10.5703125" hidden="1" customWidth="1"/>
    <col min="37" max="37" width="9.140625" hidden="1" customWidth="1"/>
    <col min="38" max="38" width="10.5703125" hidden="1" customWidth="1"/>
    <col min="39" max="41" width="9.140625" hidden="1" customWidth="1"/>
    <col min="42" max="42" width="10.5703125" hidden="1" customWidth="1"/>
    <col min="43" max="43" width="9.140625" hidden="1" customWidth="1"/>
    <col min="44" max="44" width="10.5703125" hidden="1" customWidth="1"/>
    <col min="45" max="47" width="9.140625" hidden="1" customWidth="1"/>
    <col min="48" max="48" width="10.5703125" hidden="1" customWidth="1"/>
    <col min="49" max="49" width="9.140625" hidden="1" customWidth="1"/>
    <col min="50" max="50" width="10.5703125" hidden="1" customWidth="1"/>
    <col min="51" max="53" width="9.140625" hidden="1" customWidth="1"/>
    <col min="54" max="54" width="10.5703125" hidden="1" customWidth="1"/>
    <col min="55" max="55" width="9.140625" hidden="1" customWidth="1"/>
    <col min="56" max="56" width="10.5703125" hidden="1" customWidth="1"/>
    <col min="57" max="59" width="9.140625" hidden="1" customWidth="1"/>
    <col min="60" max="60" width="10.5703125" hidden="1" customWidth="1"/>
    <col min="61" max="61" width="9.140625" hidden="1" customWidth="1"/>
    <col min="62" max="62" width="10.5703125" hidden="1" customWidth="1"/>
    <col min="63" max="65" width="9.140625" hidden="1" customWidth="1"/>
    <col min="66" max="66" width="10.5703125" hidden="1" customWidth="1"/>
    <col min="67" max="67" width="9.140625" hidden="1" customWidth="1"/>
    <col min="68" max="68" width="10.5703125" hidden="1" customWidth="1"/>
    <col min="69" max="71" width="0" hidden="1" customWidth="1"/>
    <col min="72" max="72" width="10.5703125" hidden="1" customWidth="1"/>
    <col min="73" max="73" width="0" hidden="1" customWidth="1"/>
    <col min="75" max="75" width="10.5703125" bestFit="1" customWidth="1"/>
  </cols>
  <sheetData>
    <row r="1" spans="1:76" x14ac:dyDescent="0.25">
      <c r="A1" s="8">
        <v>44927</v>
      </c>
    </row>
    <row r="2" spans="1:76" x14ac:dyDescent="0.25">
      <c r="A2" s="2"/>
      <c r="B2" s="72" t="s">
        <v>37</v>
      </c>
      <c r="C2" s="72"/>
      <c r="D2" s="72"/>
      <c r="E2" s="72"/>
      <c r="F2" s="72"/>
      <c r="G2" s="72"/>
      <c r="H2" s="73" t="s">
        <v>43</v>
      </c>
      <c r="I2" s="73"/>
      <c r="J2" s="73"/>
      <c r="K2" s="73"/>
      <c r="L2" s="73"/>
      <c r="M2" s="73"/>
      <c r="N2" s="72" t="s">
        <v>44</v>
      </c>
      <c r="O2" s="72"/>
      <c r="P2" s="72"/>
      <c r="Q2" s="72"/>
      <c r="R2" s="72"/>
      <c r="S2" s="72"/>
      <c r="T2" s="71" t="s">
        <v>46</v>
      </c>
      <c r="U2" s="71"/>
      <c r="V2" s="71"/>
      <c r="W2" s="71"/>
      <c r="X2" s="71"/>
      <c r="Y2" s="71"/>
      <c r="Z2" s="74" t="s">
        <v>48</v>
      </c>
      <c r="AA2" s="74"/>
      <c r="AB2" s="74"/>
      <c r="AC2" s="74"/>
      <c r="AD2" s="74"/>
      <c r="AE2" s="74"/>
      <c r="AF2" s="71" t="s">
        <v>47</v>
      </c>
      <c r="AG2" s="71"/>
      <c r="AH2" s="71"/>
      <c r="AI2" s="71"/>
      <c r="AJ2" s="71"/>
      <c r="AK2" s="71"/>
      <c r="AL2" s="74" t="s">
        <v>49</v>
      </c>
      <c r="AM2" s="74"/>
      <c r="AN2" s="74"/>
      <c r="AO2" s="74"/>
      <c r="AP2" s="74"/>
      <c r="AQ2" s="74"/>
      <c r="AR2" s="71" t="s">
        <v>50</v>
      </c>
      <c r="AS2" s="71"/>
      <c r="AT2" s="71"/>
      <c r="AU2" s="71"/>
      <c r="AV2" s="71"/>
      <c r="AW2" s="71"/>
      <c r="AX2" s="74" t="s">
        <v>51</v>
      </c>
      <c r="AY2" s="74"/>
      <c r="AZ2" s="74"/>
      <c r="BA2" s="74"/>
      <c r="BB2" s="74"/>
      <c r="BC2" s="74"/>
      <c r="BD2" s="71" t="s">
        <v>52</v>
      </c>
      <c r="BE2" s="71"/>
      <c r="BF2" s="71"/>
      <c r="BG2" s="71"/>
      <c r="BH2" s="71"/>
      <c r="BI2" s="71"/>
      <c r="BJ2" s="74" t="s">
        <v>53</v>
      </c>
      <c r="BK2" s="74"/>
      <c r="BL2" s="74"/>
      <c r="BM2" s="74"/>
      <c r="BN2" s="74"/>
      <c r="BO2" s="74"/>
      <c r="BP2" s="71" t="s">
        <v>54</v>
      </c>
      <c r="BQ2" s="71"/>
      <c r="BR2" s="71"/>
      <c r="BS2" s="71"/>
      <c r="BT2" s="71"/>
      <c r="BU2" s="71"/>
    </row>
    <row r="3" spans="1:76" ht="30" x14ac:dyDescent="0.25">
      <c r="A3" s="14" t="s">
        <v>0</v>
      </c>
      <c r="B3" s="56" t="s">
        <v>59</v>
      </c>
      <c r="C3" s="57" t="s">
        <v>39</v>
      </c>
      <c r="D3" s="57" t="s">
        <v>62</v>
      </c>
      <c r="E3" s="57" t="s">
        <v>41</v>
      </c>
      <c r="F3" s="56" t="s">
        <v>61</v>
      </c>
      <c r="G3" s="56" t="s">
        <v>42</v>
      </c>
      <c r="H3" s="37" t="s">
        <v>59</v>
      </c>
      <c r="I3" s="38" t="s">
        <v>39</v>
      </c>
      <c r="J3" s="38" t="s">
        <v>62</v>
      </c>
      <c r="K3" s="38" t="s">
        <v>41</v>
      </c>
      <c r="L3" s="37" t="s">
        <v>61</v>
      </c>
      <c r="M3" s="37" t="s">
        <v>42</v>
      </c>
      <c r="N3" s="56" t="s">
        <v>59</v>
      </c>
      <c r="O3" s="57" t="s">
        <v>39</v>
      </c>
      <c r="P3" s="57" t="s">
        <v>62</v>
      </c>
      <c r="Q3" s="57" t="s">
        <v>41</v>
      </c>
      <c r="R3" s="56" t="s">
        <v>61</v>
      </c>
      <c r="S3" s="56" t="s">
        <v>42</v>
      </c>
      <c r="T3" s="15" t="s">
        <v>38</v>
      </c>
      <c r="U3" s="16" t="s">
        <v>39</v>
      </c>
      <c r="V3" s="16" t="s">
        <v>40</v>
      </c>
      <c r="W3" s="16" t="s">
        <v>41</v>
      </c>
      <c r="X3" s="15" t="s">
        <v>45</v>
      </c>
      <c r="Y3" s="15" t="s">
        <v>42</v>
      </c>
      <c r="Z3" s="17" t="s">
        <v>38</v>
      </c>
      <c r="AA3" s="18" t="s">
        <v>39</v>
      </c>
      <c r="AB3" s="18" t="s">
        <v>40</v>
      </c>
      <c r="AC3" s="18" t="s">
        <v>41</v>
      </c>
      <c r="AD3" s="17" t="s">
        <v>45</v>
      </c>
      <c r="AE3" s="17" t="s">
        <v>42</v>
      </c>
      <c r="AF3" s="15" t="s">
        <v>38</v>
      </c>
      <c r="AG3" s="16" t="s">
        <v>39</v>
      </c>
      <c r="AH3" s="16" t="s">
        <v>40</v>
      </c>
      <c r="AI3" s="16" t="s">
        <v>41</v>
      </c>
      <c r="AJ3" s="15" t="s">
        <v>45</v>
      </c>
      <c r="AK3" s="15" t="s">
        <v>42</v>
      </c>
      <c r="AL3" s="17" t="s">
        <v>38</v>
      </c>
      <c r="AM3" s="18" t="s">
        <v>39</v>
      </c>
      <c r="AN3" s="18" t="s">
        <v>40</v>
      </c>
      <c r="AO3" s="18" t="s">
        <v>41</v>
      </c>
      <c r="AP3" s="17" t="s">
        <v>45</v>
      </c>
      <c r="AQ3" s="17" t="s">
        <v>42</v>
      </c>
      <c r="AR3" s="15" t="s">
        <v>38</v>
      </c>
      <c r="AS3" s="16" t="s">
        <v>39</v>
      </c>
      <c r="AT3" s="16" t="s">
        <v>40</v>
      </c>
      <c r="AU3" s="16" t="s">
        <v>41</v>
      </c>
      <c r="AV3" s="15" t="s">
        <v>45</v>
      </c>
      <c r="AW3" s="15" t="s">
        <v>42</v>
      </c>
      <c r="AX3" s="17" t="s">
        <v>38</v>
      </c>
      <c r="AY3" s="18" t="s">
        <v>39</v>
      </c>
      <c r="AZ3" s="18" t="s">
        <v>40</v>
      </c>
      <c r="BA3" s="18" t="s">
        <v>41</v>
      </c>
      <c r="BB3" s="17" t="s">
        <v>45</v>
      </c>
      <c r="BC3" s="17" t="s">
        <v>42</v>
      </c>
      <c r="BD3" s="15" t="s">
        <v>38</v>
      </c>
      <c r="BE3" s="16" t="s">
        <v>39</v>
      </c>
      <c r="BF3" s="16" t="s">
        <v>40</v>
      </c>
      <c r="BG3" s="16" t="s">
        <v>41</v>
      </c>
      <c r="BH3" s="15" t="s">
        <v>45</v>
      </c>
      <c r="BI3" s="15" t="s">
        <v>42</v>
      </c>
      <c r="BJ3" s="17" t="s">
        <v>38</v>
      </c>
      <c r="BK3" s="18" t="s">
        <v>39</v>
      </c>
      <c r="BL3" s="18" t="s">
        <v>40</v>
      </c>
      <c r="BM3" s="18" t="s">
        <v>41</v>
      </c>
      <c r="BN3" s="17" t="s">
        <v>45</v>
      </c>
      <c r="BO3" s="17" t="s">
        <v>42</v>
      </c>
      <c r="BP3" s="15" t="s">
        <v>38</v>
      </c>
      <c r="BQ3" s="16" t="s">
        <v>39</v>
      </c>
      <c r="BR3" s="16" t="s">
        <v>40</v>
      </c>
      <c r="BS3" s="16" t="s">
        <v>41</v>
      </c>
      <c r="BT3" s="15" t="s">
        <v>45</v>
      </c>
      <c r="BU3" s="15" t="s">
        <v>42</v>
      </c>
      <c r="BW3" s="14" t="s">
        <v>0</v>
      </c>
      <c r="BX3" s="38" t="s">
        <v>63</v>
      </c>
    </row>
    <row r="4" spans="1:76" x14ac:dyDescent="0.25">
      <c r="A4" s="2" t="s">
        <v>2</v>
      </c>
      <c r="B4" s="19">
        <v>1100000</v>
      </c>
      <c r="C4" s="20">
        <v>50000</v>
      </c>
      <c r="D4" s="21">
        <f>(31-5+1)/31</f>
        <v>0.87096774193548387</v>
      </c>
      <c r="E4" s="22">
        <f>(B4+D4*C4)/SUM(B$14:C$14)</f>
        <v>0.19289367722276637</v>
      </c>
      <c r="F4" s="19">
        <v>1205500</v>
      </c>
      <c r="G4" s="23">
        <f>(F4-B4-C4)/(B4+D4*C4)</f>
        <v>4.8533145275035258E-2</v>
      </c>
      <c r="H4" s="3">
        <f>F4</f>
        <v>1205500</v>
      </c>
      <c r="I4" s="4"/>
      <c r="J4" s="5"/>
      <c r="K4" s="22">
        <f>(H4+J4*I4)/SUM(H$14:I$14)</f>
        <v>0.19578204934863055</v>
      </c>
      <c r="L4" s="3">
        <v>1206000</v>
      </c>
      <c r="M4" s="25">
        <f>(L4-H4-I4)/(H4+J4*I4)</f>
        <v>4.1476565740356696E-4</v>
      </c>
      <c r="N4" s="19">
        <f>L4</f>
        <v>1206000</v>
      </c>
      <c r="O4" s="20"/>
      <c r="P4" s="21"/>
      <c r="Q4" s="22">
        <f>(N4+P4*O4)/SUM(N$14:O$14)</f>
        <v>0.19476744186046513</v>
      </c>
      <c r="R4" s="19">
        <v>1200000</v>
      </c>
      <c r="S4" s="23">
        <f>(R4-N4-O4)/(N4+P4*O4)</f>
        <v>-4.9751243781094526E-3</v>
      </c>
      <c r="T4" s="3">
        <f>R4</f>
        <v>1200000</v>
      </c>
      <c r="U4" s="4"/>
      <c r="V4" s="5"/>
      <c r="W4" s="6">
        <f>(T4+V4*U4)/SUM(T$14:U$14)</f>
        <v>0.19498669597899762</v>
      </c>
      <c r="X4" s="3">
        <v>1185000</v>
      </c>
      <c r="Y4" s="25">
        <f>(X4-T4-U4)/(T4+V4*U4)</f>
        <v>-1.2500000000000001E-2</v>
      </c>
      <c r="Z4" s="19">
        <f>X4</f>
        <v>1185000</v>
      </c>
      <c r="AA4" s="20"/>
      <c r="AB4" s="21"/>
      <c r="AC4" s="22">
        <f>(Z4+AB4*AA4)/SUM(Z$14:AA$77)</f>
        <v>0.19426229508196721</v>
      </c>
      <c r="AD4" s="19">
        <v>1180000</v>
      </c>
      <c r="AE4" s="23">
        <f>(AD4-Z4-AA4)/(Z4+AB4*AA4)</f>
        <v>-4.2194092827004216E-3</v>
      </c>
      <c r="AF4" s="3">
        <f>AD4</f>
        <v>1180000</v>
      </c>
      <c r="AG4" s="4"/>
      <c r="AH4" s="5"/>
      <c r="AI4" s="6">
        <f>(AF4+AH4*AG4)/SUM(AF$14:AG$77)</f>
        <v>0.19865319865319866</v>
      </c>
      <c r="AJ4" s="3">
        <v>1170000</v>
      </c>
      <c r="AK4" s="25">
        <f>(AJ4-AF4-AG4)/(AF4+AH4*AG4)</f>
        <v>-8.4745762711864406E-3</v>
      </c>
      <c r="AL4" s="19">
        <f>AJ4</f>
        <v>1170000</v>
      </c>
      <c r="AM4" s="20"/>
      <c r="AN4" s="21"/>
      <c r="AO4" s="22">
        <f>(AL4+AN4*AM4)/SUM(AL$14:AM$77)</f>
        <v>0.19710242587601079</v>
      </c>
      <c r="AP4" s="19">
        <v>1175000</v>
      </c>
      <c r="AQ4" s="23">
        <f>(AP4-AL4-AM4)/(AL4+AN4*AM4)</f>
        <v>4.2735042735042739E-3</v>
      </c>
      <c r="AR4" s="3">
        <f>AP4</f>
        <v>1175000</v>
      </c>
      <c r="AS4" s="4"/>
      <c r="AT4" s="5"/>
      <c r="AU4" s="6">
        <f>(AR4+AT4*AS4)/SUM(AR$14:AS$77)</f>
        <v>0.19635695187165775</v>
      </c>
      <c r="AV4" s="3">
        <v>1161000</v>
      </c>
      <c r="AW4" s="25">
        <f>(AV4-AR4-AS4)/(AR4+AT4*AS4)</f>
        <v>-1.1914893617021277E-2</v>
      </c>
      <c r="AX4" s="19">
        <f>AV4</f>
        <v>1161000</v>
      </c>
      <c r="AY4" s="20"/>
      <c r="AZ4" s="21"/>
      <c r="BA4" s="22">
        <f>(AX4+AZ4*AY4)/SUM(AX$14:AY$77)</f>
        <v>0.19260119442601195</v>
      </c>
      <c r="BB4" s="19">
        <v>1163000</v>
      </c>
      <c r="BC4" s="23">
        <f>(BB4-AX4-AY4)/(AX4+AZ4*AY4)</f>
        <v>1.7226528854435831E-3</v>
      </c>
      <c r="BD4" s="3">
        <f>BB4</f>
        <v>1163000</v>
      </c>
      <c r="BE4" s="4"/>
      <c r="BF4" s="5"/>
      <c r="BG4" s="6">
        <f>(BD4+BF4*BE4)/SUM(BD$14:BE$77)</f>
        <v>0.19169276413383879</v>
      </c>
      <c r="BH4" s="3">
        <v>1165000</v>
      </c>
      <c r="BI4" s="25">
        <f>(BH4-BD4-BE4)/(BD4+BF4*BE4)</f>
        <v>1.7196904557179708E-3</v>
      </c>
      <c r="BJ4" s="19">
        <f>BH4</f>
        <v>1165000</v>
      </c>
      <c r="BK4" s="20"/>
      <c r="BL4" s="21"/>
      <c r="BM4" s="22">
        <f>(BJ4+BL4*BK4)/SUM(BJ$14:BK$77)</f>
        <v>0.19051512673753065</v>
      </c>
      <c r="BN4" s="19">
        <v>1170000</v>
      </c>
      <c r="BO4" s="23">
        <f>(BN4-BJ4-BK4)/(BJ4+BL4*BK4)</f>
        <v>4.2918454935622317E-3</v>
      </c>
      <c r="BP4" s="3">
        <f>BN4</f>
        <v>1170000</v>
      </c>
      <c r="BQ4" s="4"/>
      <c r="BR4" s="5"/>
      <c r="BS4" s="6">
        <f>(BP4+BR4*BQ4)/SUM(BP$14:BQ$77)</f>
        <v>0.18780096308186195</v>
      </c>
      <c r="BT4" s="3">
        <v>1180000</v>
      </c>
      <c r="BU4" s="25">
        <f>(BT4-BP4-BQ4)/(BP4+BR4*BQ4)</f>
        <v>8.5470085470085479E-3</v>
      </c>
      <c r="BW4" s="2" t="s">
        <v>2</v>
      </c>
      <c r="BX4" s="9">
        <f t="array" ref="BX4">PRODUCT(1+G5:BU5)-1</f>
        <v>2.6353472770254571E-2</v>
      </c>
    </row>
    <row r="5" spans="1:76" hidden="1" x14ac:dyDescent="0.25">
      <c r="A5" s="2"/>
      <c r="B5" s="19"/>
      <c r="C5" s="20"/>
      <c r="D5" s="21"/>
      <c r="E5" s="22"/>
      <c r="F5" s="19"/>
      <c r="G5" s="32">
        <f>G4</f>
        <v>4.8533145275035258E-2</v>
      </c>
      <c r="H5" s="3"/>
      <c r="I5" s="4"/>
      <c r="J5" s="5"/>
      <c r="K5" s="6"/>
      <c r="L5" s="3"/>
      <c r="M5" s="32">
        <f>M4</f>
        <v>4.1476565740356696E-4</v>
      </c>
      <c r="N5" s="19"/>
      <c r="O5" s="20"/>
      <c r="P5" s="21"/>
      <c r="Q5" s="22"/>
      <c r="R5" s="19"/>
      <c r="S5" s="32">
        <f>S4</f>
        <v>-4.9751243781094526E-3</v>
      </c>
      <c r="T5" s="3"/>
      <c r="U5" s="4"/>
      <c r="V5" s="5"/>
      <c r="W5" s="6"/>
      <c r="X5" s="3"/>
      <c r="Y5" s="32">
        <f>Y4</f>
        <v>-1.2500000000000001E-2</v>
      </c>
      <c r="Z5" s="19"/>
      <c r="AA5" s="20"/>
      <c r="AB5" s="21"/>
      <c r="AC5" s="22"/>
      <c r="AD5" s="19"/>
      <c r="AE5" s="32">
        <f>AE4</f>
        <v>-4.2194092827004216E-3</v>
      </c>
      <c r="AF5" s="3"/>
      <c r="AG5" s="4"/>
      <c r="AH5" s="5"/>
      <c r="AI5" s="6"/>
      <c r="AJ5" s="3"/>
      <c r="AK5" s="32">
        <f>AK4</f>
        <v>-8.4745762711864406E-3</v>
      </c>
      <c r="AL5" s="19"/>
      <c r="AM5" s="20"/>
      <c r="AN5" s="21"/>
      <c r="AO5" s="22"/>
      <c r="AP5" s="19"/>
      <c r="AQ5" s="32">
        <f>AQ4</f>
        <v>4.2735042735042739E-3</v>
      </c>
      <c r="AR5" s="3"/>
      <c r="AS5" s="4"/>
      <c r="AT5" s="5"/>
      <c r="AU5" s="6"/>
      <c r="AV5" s="3"/>
      <c r="AW5" s="32">
        <f>AW4</f>
        <v>-1.1914893617021277E-2</v>
      </c>
      <c r="AX5" s="19"/>
      <c r="AY5" s="20"/>
      <c r="AZ5" s="21"/>
      <c r="BA5" s="22"/>
      <c r="BB5" s="19"/>
      <c r="BC5" s="32">
        <f>BC4</f>
        <v>1.7226528854435831E-3</v>
      </c>
      <c r="BD5" s="3"/>
      <c r="BE5" s="4"/>
      <c r="BF5" s="5"/>
      <c r="BG5" s="6"/>
      <c r="BH5" s="3"/>
      <c r="BI5" s="32">
        <f>BI4</f>
        <v>1.7196904557179708E-3</v>
      </c>
      <c r="BJ5" s="19"/>
      <c r="BK5" s="20"/>
      <c r="BL5" s="21"/>
      <c r="BM5" s="22"/>
      <c r="BN5" s="19"/>
      <c r="BO5" s="32">
        <f>BO4</f>
        <v>4.2918454935622317E-3</v>
      </c>
      <c r="BP5" s="3"/>
      <c r="BQ5" s="4"/>
      <c r="BR5" s="5"/>
      <c r="BS5" s="6"/>
      <c r="BT5" s="3"/>
      <c r="BU5" s="32">
        <f>BU4</f>
        <v>8.5470085470085479E-3</v>
      </c>
      <c r="BW5" s="2"/>
      <c r="BX5" s="10"/>
    </row>
    <row r="6" spans="1:76" x14ac:dyDescent="0.25">
      <c r="A6" s="2" t="s">
        <v>3</v>
      </c>
      <c r="B6" s="19">
        <v>1150000</v>
      </c>
      <c r="C6" s="20">
        <v>100000</v>
      </c>
      <c r="D6" s="21">
        <f>(31-15+1)/31</f>
        <v>0.54838709677419351</v>
      </c>
      <c r="E6" s="22">
        <f t="shared" ref="E6:E12" si="0">(B6+D6*C6)/SUM(B$14:C$14)</f>
        <v>0.20323212536728699</v>
      </c>
      <c r="F6" s="19">
        <v>1262000</v>
      </c>
      <c r="G6" s="23">
        <f>(F6-B6-C6)/(B6+D6*C6)</f>
        <v>9.9598393574297193E-3</v>
      </c>
      <c r="H6" s="3">
        <f t="shared" ref="H6" si="1">F6</f>
        <v>1262000</v>
      </c>
      <c r="I6" s="4"/>
      <c r="J6" s="5"/>
      <c r="K6" s="22">
        <f>(H6+J6*I6)/SUM(H$14:I$14)</f>
        <v>0.20495806410449752</v>
      </c>
      <c r="L6" s="3">
        <v>1263000</v>
      </c>
      <c r="M6" s="25">
        <f t="shared" ref="M6" si="2">(L6-H6-I6)/(H6+J6*I6)</f>
        <v>7.9239302694136295E-4</v>
      </c>
      <c r="N6" s="19">
        <f t="shared" ref="N6" si="3">L6</f>
        <v>1263000</v>
      </c>
      <c r="O6" s="20"/>
      <c r="P6" s="21"/>
      <c r="Q6" s="22">
        <f t="shared" ref="Q6:Q12" si="4">(N6+P6*O6)/SUM(N$14:O$14)</f>
        <v>0.20397286821705427</v>
      </c>
      <c r="R6" s="19">
        <v>1256000</v>
      </c>
      <c r="S6" s="23">
        <f>(R6-N6-O6)/(N6+P6*O6)</f>
        <v>-5.5423594615993665E-3</v>
      </c>
      <c r="T6" s="3">
        <f>R6</f>
        <v>1256000</v>
      </c>
      <c r="U6" s="4"/>
      <c r="V6" s="5"/>
      <c r="W6" s="6">
        <f t="shared" ref="W6:W12" si="5">(T6+V6*U6)/SUM(T$14:U$14)</f>
        <v>0.20408607512468419</v>
      </c>
      <c r="X6" s="3">
        <v>1250000</v>
      </c>
      <c r="Y6" s="25">
        <f>(X6-T6-U6)/(T6+V6*U6)</f>
        <v>-4.7770700636942673E-3</v>
      </c>
      <c r="Z6" s="19">
        <f>X6</f>
        <v>1250000</v>
      </c>
      <c r="AA6" s="20"/>
      <c r="AB6" s="21"/>
      <c r="AC6" s="22">
        <f>(Z6+AB6*AA6)/SUM(Z$14:AA$77)</f>
        <v>0.20491803278688525</v>
      </c>
      <c r="AD6" s="19">
        <v>1200000</v>
      </c>
      <c r="AE6" s="23">
        <f>(AD6-Z6-AA6)/(Z6+AB6*AA6)</f>
        <v>-0.04</v>
      </c>
      <c r="AF6" s="3">
        <f>AD6</f>
        <v>1200000</v>
      </c>
      <c r="AG6" s="4"/>
      <c r="AH6" s="5"/>
      <c r="AI6" s="6">
        <f>(AF6+AH6*AG6)/SUM(AF$14:AG$77)</f>
        <v>0.20202020202020202</v>
      </c>
      <c r="AJ6" s="3">
        <v>1176000</v>
      </c>
      <c r="AK6" s="25">
        <f>(AJ6-AF6-AG6)/(AF6+AH6*AG6)</f>
        <v>-0.02</v>
      </c>
      <c r="AL6" s="19">
        <f>AJ6</f>
        <v>1176000</v>
      </c>
      <c r="AM6" s="20"/>
      <c r="AN6" s="21"/>
      <c r="AO6" s="22">
        <f>(AL6+AN6*AM6)/SUM(AL$14:AM$77)</f>
        <v>0.19811320754716982</v>
      </c>
      <c r="AP6" s="19">
        <v>1179000</v>
      </c>
      <c r="AQ6" s="23">
        <f>(AP6-AL6-AM6)/(AL6+AN6*AM6)</f>
        <v>2.5510204081632651E-3</v>
      </c>
      <c r="AR6" s="3">
        <f t="shared" ref="AR6" si="6">AP6</f>
        <v>1179000</v>
      </c>
      <c r="AS6" s="4"/>
      <c r="AT6" s="5"/>
      <c r="AU6" s="6">
        <f>(AR6+AT6*AS6)/SUM(AR$14:AS$77)</f>
        <v>0.19702540106951871</v>
      </c>
      <c r="AV6" s="3">
        <v>1176000</v>
      </c>
      <c r="AW6" s="25">
        <f t="shared" ref="AW6" si="7">(AV6-AR6-AS6)/(AR6+AT6*AS6)</f>
        <v>-2.5445292620865142E-3</v>
      </c>
      <c r="AX6" s="19">
        <f t="shared" ref="AX6" si="8">AV6</f>
        <v>1176000</v>
      </c>
      <c r="AY6" s="20"/>
      <c r="AZ6" s="21"/>
      <c r="BA6" s="22">
        <f>(AX6+AZ6*AY6)/SUM(AX$14:AY$77)</f>
        <v>0.19508958195089582</v>
      </c>
      <c r="BB6" s="19">
        <v>1185000</v>
      </c>
      <c r="BC6" s="23">
        <f>(BB6-AX6-AY6)/(AX6+AZ6*AY6)</f>
        <v>7.6530612244897957E-3</v>
      </c>
      <c r="BD6" s="3">
        <f t="shared" ref="BD6" si="9">BB6</f>
        <v>1185000</v>
      </c>
      <c r="BE6" s="4"/>
      <c r="BF6" s="5"/>
      <c r="BG6" s="6">
        <f>(BD6+BF6*BE6)/SUM(BD$14:BE$77)</f>
        <v>0.19531893851986154</v>
      </c>
      <c r="BH6" s="3">
        <v>1190000</v>
      </c>
      <c r="BI6" s="25">
        <f t="shared" ref="BI6" si="10">(BH6-BD6-BE6)/(BD6+BF6*BE6)</f>
        <v>4.2194092827004216E-3</v>
      </c>
      <c r="BJ6" s="19">
        <f t="shared" ref="BJ6" si="11">BH6</f>
        <v>1190000</v>
      </c>
      <c r="BK6" s="20"/>
      <c r="BL6" s="21"/>
      <c r="BM6" s="22">
        <f>(BJ6+BL6*BK6)/SUM(BJ$14:BK$77)</f>
        <v>0.19460343417825021</v>
      </c>
      <c r="BN6" s="19">
        <v>1195000</v>
      </c>
      <c r="BO6" s="23">
        <f>(BN6-BJ6-BK6)/(BJ6+BL6*BK6)</f>
        <v>4.2016806722689074E-3</v>
      </c>
      <c r="BP6" s="3">
        <f t="shared" ref="BP6" si="12">BN6</f>
        <v>1195000</v>
      </c>
      <c r="BQ6" s="4"/>
      <c r="BR6" s="5"/>
      <c r="BS6" s="6">
        <f>(BP6+BR6*BQ6)/SUM(BP$14:BQ$77)</f>
        <v>0.19181380417335472</v>
      </c>
      <c r="BT6" s="3">
        <v>1197000</v>
      </c>
      <c r="BU6" s="25">
        <f t="shared" ref="BU6" si="13">(BT6-BP6-BQ6)/(BP6+BR6*BQ6)</f>
        <v>1.6736401673640166E-3</v>
      </c>
      <c r="BW6" s="2" t="s">
        <v>3</v>
      </c>
      <c r="BX6" s="9">
        <f t="array" ref="BX6">PRODUCT(1+G7:BU7)-1</f>
        <v>-4.2058694365417093E-2</v>
      </c>
    </row>
    <row r="7" spans="1:76" hidden="1" x14ac:dyDescent="0.25">
      <c r="A7" s="2"/>
      <c r="B7" s="19"/>
      <c r="C7" s="20"/>
      <c r="D7" s="21"/>
      <c r="E7" s="22">
        <f t="shared" si="0"/>
        <v>0</v>
      </c>
      <c r="F7" s="19"/>
      <c r="G7" s="32">
        <f>G6</f>
        <v>9.9598393574297193E-3</v>
      </c>
      <c r="H7" s="3"/>
      <c r="I7" s="4"/>
      <c r="J7" s="5"/>
      <c r="K7" s="6">
        <f t="shared" ref="K7:K11" si="14">(H7+J7*I7)/SUM(H$14:I$14)</f>
        <v>0</v>
      </c>
      <c r="L7" s="3"/>
      <c r="M7" s="32">
        <f>M6</f>
        <v>7.9239302694136295E-4</v>
      </c>
      <c r="N7" s="19"/>
      <c r="O7" s="20"/>
      <c r="P7" s="21"/>
      <c r="Q7" s="22">
        <f t="shared" si="4"/>
        <v>0</v>
      </c>
      <c r="R7" s="19"/>
      <c r="S7" s="32">
        <f>S6</f>
        <v>-5.5423594615993665E-3</v>
      </c>
      <c r="T7" s="3"/>
      <c r="U7" s="4"/>
      <c r="V7" s="5"/>
      <c r="W7" s="6">
        <f t="shared" si="5"/>
        <v>0</v>
      </c>
      <c r="X7" s="3"/>
      <c r="Y7" s="32">
        <f>Y6</f>
        <v>-4.7770700636942673E-3</v>
      </c>
      <c r="Z7" s="19"/>
      <c r="AA7" s="20"/>
      <c r="AB7" s="21"/>
      <c r="AC7" s="22"/>
      <c r="AD7" s="19"/>
      <c r="AE7" s="32">
        <f>AE6</f>
        <v>-0.04</v>
      </c>
      <c r="AF7" s="3"/>
      <c r="AG7" s="4"/>
      <c r="AH7" s="5"/>
      <c r="AI7" s="6"/>
      <c r="AJ7" s="3"/>
      <c r="AK7" s="32">
        <f>AK6</f>
        <v>-0.02</v>
      </c>
      <c r="AL7" s="19"/>
      <c r="AM7" s="20"/>
      <c r="AN7" s="21"/>
      <c r="AO7" s="22"/>
      <c r="AP7" s="19"/>
      <c r="AQ7" s="32">
        <f>AQ6</f>
        <v>2.5510204081632651E-3</v>
      </c>
      <c r="AR7" s="3"/>
      <c r="AS7" s="4"/>
      <c r="AT7" s="5"/>
      <c r="AU7" s="6"/>
      <c r="AV7" s="3"/>
      <c r="AW7" s="32">
        <f>AW6</f>
        <v>-2.5445292620865142E-3</v>
      </c>
      <c r="AX7" s="19"/>
      <c r="AY7" s="20"/>
      <c r="AZ7" s="21"/>
      <c r="BA7" s="22"/>
      <c r="BB7" s="19"/>
      <c r="BC7" s="32">
        <f>BC6</f>
        <v>7.6530612244897957E-3</v>
      </c>
      <c r="BD7" s="3"/>
      <c r="BE7" s="4"/>
      <c r="BF7" s="5"/>
      <c r="BG7" s="6"/>
      <c r="BH7" s="3"/>
      <c r="BI7" s="32">
        <f>BI6</f>
        <v>4.2194092827004216E-3</v>
      </c>
      <c r="BJ7" s="19"/>
      <c r="BK7" s="20"/>
      <c r="BL7" s="21"/>
      <c r="BM7" s="22"/>
      <c r="BN7" s="19"/>
      <c r="BO7" s="32">
        <f>BO6</f>
        <v>4.2016806722689074E-3</v>
      </c>
      <c r="BP7" s="3"/>
      <c r="BQ7" s="4"/>
      <c r="BR7" s="5"/>
      <c r="BS7" s="6"/>
      <c r="BT7" s="3"/>
      <c r="BU7" s="32">
        <f>BU6</f>
        <v>1.6736401673640166E-3</v>
      </c>
      <c r="BW7" s="2"/>
      <c r="BX7" s="10"/>
    </row>
    <row r="8" spans="1:76" x14ac:dyDescent="0.25">
      <c r="A8" s="2" t="s">
        <v>1</v>
      </c>
      <c r="B8" s="19">
        <v>1170000</v>
      </c>
      <c r="C8" s="20"/>
      <c r="D8" s="20"/>
      <c r="E8" s="22">
        <f t="shared" si="0"/>
        <v>0.19735553379040158</v>
      </c>
      <c r="F8" s="19">
        <v>1175000</v>
      </c>
      <c r="G8" s="23">
        <f>(F8-B8-C8)/(B8+D8*C8)</f>
        <v>4.2735042735042739E-3</v>
      </c>
      <c r="H8" s="3">
        <f t="shared" ref="H8" si="15">F8</f>
        <v>1175000</v>
      </c>
      <c r="I8" s="4">
        <v>100000</v>
      </c>
      <c r="J8" s="58">
        <f>(28-2)/28</f>
        <v>0.9285714285714286</v>
      </c>
      <c r="K8" s="22">
        <f>(H8+J8*I8)/SUM(H$14:I$14)</f>
        <v>0.20590930710068098</v>
      </c>
      <c r="L8" s="3">
        <v>1280000</v>
      </c>
      <c r="M8" s="25">
        <f t="shared" ref="M8" si="16">(L8-H8-I8)/(H8+J8*I8)</f>
        <v>3.9436619718309857E-3</v>
      </c>
      <c r="N8" s="19">
        <f t="shared" ref="N8" si="17">L8</f>
        <v>1280000</v>
      </c>
      <c r="O8" s="20"/>
      <c r="P8" s="20"/>
      <c r="Q8" s="22">
        <f t="shared" si="4"/>
        <v>0.20671834625322996</v>
      </c>
      <c r="R8" s="19">
        <v>1270000</v>
      </c>
      <c r="S8" s="23">
        <f>(R8-N8-O8)/(N8+P8*O8)</f>
        <v>-7.8125E-3</v>
      </c>
      <c r="T8" s="3">
        <f>R8</f>
        <v>1270000</v>
      </c>
      <c r="U8" s="4"/>
      <c r="V8" s="6"/>
      <c r="W8" s="6">
        <f t="shared" si="5"/>
        <v>0.20636091991110583</v>
      </c>
      <c r="X8" s="3">
        <v>1255000</v>
      </c>
      <c r="Y8" s="25">
        <f>(X8-T8-U8)/(T8+V8*U8)</f>
        <v>-1.1811023622047244E-2</v>
      </c>
      <c r="Z8" s="19">
        <f>X8</f>
        <v>1255000</v>
      </c>
      <c r="AA8" s="20"/>
      <c r="AB8" s="20"/>
      <c r="AC8" s="22">
        <f>(Z8+AB8*AA8)/SUM(Z$14:AA$77)</f>
        <v>0.20573770491803278</v>
      </c>
      <c r="AD8" s="19">
        <v>1230000</v>
      </c>
      <c r="AE8" s="23">
        <f>(AD8-Z8-AA8)/(Z8+AB8*AA8)</f>
        <v>-1.9920318725099601E-2</v>
      </c>
      <c r="AF8" s="3">
        <f>AD8</f>
        <v>1230000</v>
      </c>
      <c r="AG8" s="4"/>
      <c r="AH8" s="6"/>
      <c r="AI8" s="6">
        <f>(AF8+AH8*AG8)/SUM(AF$14:AG$77)</f>
        <v>0.20707070707070707</v>
      </c>
      <c r="AJ8" s="3">
        <v>1240000</v>
      </c>
      <c r="AK8" s="25">
        <f>(AJ8-AF8-AG8)/(AF8+AH8*AG8)</f>
        <v>8.130081300813009E-3</v>
      </c>
      <c r="AL8" s="19">
        <f>AJ8</f>
        <v>1240000</v>
      </c>
      <c r="AM8" s="20"/>
      <c r="AN8" s="20"/>
      <c r="AO8" s="22">
        <f>(AL8+AN8*AM8)/SUM(AL$14:AM$77)</f>
        <v>0.20889487870619947</v>
      </c>
      <c r="AP8" s="19">
        <v>1250000</v>
      </c>
      <c r="AQ8" s="23">
        <f>(AP8-AL8-AM8)/(AL8+AN8*AM8)</f>
        <v>8.0645161290322578E-3</v>
      </c>
      <c r="AR8" s="3">
        <f t="shared" ref="AR8" si="18">AP8</f>
        <v>1250000</v>
      </c>
      <c r="AS8" s="4"/>
      <c r="AT8" s="6"/>
      <c r="AU8" s="6">
        <f>(AR8+AT8*AS8)/SUM(AR$14:AS$77)</f>
        <v>0.2088903743315508</v>
      </c>
      <c r="AV8" s="3">
        <v>1230000</v>
      </c>
      <c r="AW8" s="25">
        <f t="shared" ref="AW8" si="19">(AV8-AR8-AS8)/(AR8+AT8*AS8)</f>
        <v>-1.6E-2</v>
      </c>
      <c r="AX8" s="19">
        <f t="shared" ref="AX8" si="20">AV8</f>
        <v>1230000</v>
      </c>
      <c r="AY8" s="20"/>
      <c r="AZ8" s="20"/>
      <c r="BA8" s="22">
        <f>(AX8+AZ8*AY8)/SUM(AX$14:AY$77)</f>
        <v>0.20404777704047777</v>
      </c>
      <c r="BB8" s="19">
        <v>1240000</v>
      </c>
      <c r="BC8" s="23">
        <f>(BB8-AX8-AY8)/(AX8+AZ8*AY8)</f>
        <v>8.130081300813009E-3</v>
      </c>
      <c r="BD8" s="3">
        <f t="shared" ref="BD8" si="21">BB8</f>
        <v>1240000</v>
      </c>
      <c r="BE8" s="4"/>
      <c r="BF8" s="6"/>
      <c r="BG8" s="6">
        <f>(BD8+BF8*BE8)/SUM(BD$14:BE$77)</f>
        <v>0.20438437448491842</v>
      </c>
      <c r="BH8" s="3">
        <v>1250000</v>
      </c>
      <c r="BI8" s="25">
        <f t="shared" ref="BI8" si="22">(BH8-BD8-BE8)/(BD8+BF8*BE8)</f>
        <v>8.0645161290322578E-3</v>
      </c>
      <c r="BJ8" s="19">
        <f t="shared" ref="BJ8" si="23">BH8</f>
        <v>1250000</v>
      </c>
      <c r="BK8" s="20"/>
      <c r="BL8" s="20"/>
      <c r="BM8" s="22">
        <f>(BJ8+BL8*BK8)/SUM(BJ$14:BK$77)</f>
        <v>0.20441537203597709</v>
      </c>
      <c r="BN8" s="19">
        <v>1260000</v>
      </c>
      <c r="BO8" s="23">
        <f>(BN8-BJ8-BK8)/(BJ8+BL8*BK8)</f>
        <v>8.0000000000000002E-3</v>
      </c>
      <c r="BP8" s="3">
        <f t="shared" ref="BP8" si="24">BN8</f>
        <v>1260000</v>
      </c>
      <c r="BQ8" s="4"/>
      <c r="BR8" s="6"/>
      <c r="BS8" s="6">
        <f>(BP8+BR8*BQ8)/SUM(BP$14:BQ$77)</f>
        <v>0.20224719101123595</v>
      </c>
      <c r="BT8" s="3">
        <v>1261000</v>
      </c>
      <c r="BU8" s="25">
        <f t="shared" ref="BU8" si="25">(BT8-BP8-BQ8)/(BP8+BR8*BQ8)</f>
        <v>7.9365079365079365E-4</v>
      </c>
      <c r="BW8" s="2" t="s">
        <v>1</v>
      </c>
      <c r="BX8" s="9">
        <f t="array" ref="BX8">PRODUCT(1+G9:BU9)-1</f>
        <v>-6.7319542253522213E-3</v>
      </c>
    </row>
    <row r="9" spans="1:76" hidden="1" x14ac:dyDescent="0.25">
      <c r="A9" s="2"/>
      <c r="B9" s="19"/>
      <c r="C9" s="20"/>
      <c r="D9" s="20"/>
      <c r="E9" s="22">
        <f t="shared" si="0"/>
        <v>0</v>
      </c>
      <c r="F9" s="19"/>
      <c r="G9" s="32">
        <f>G8</f>
        <v>4.2735042735042739E-3</v>
      </c>
      <c r="H9" s="3"/>
      <c r="I9" s="4"/>
      <c r="J9" s="6"/>
      <c r="K9" s="6">
        <f t="shared" si="14"/>
        <v>0</v>
      </c>
      <c r="L9" s="3"/>
      <c r="M9" s="32">
        <f>M8</f>
        <v>3.9436619718309857E-3</v>
      </c>
      <c r="N9" s="19"/>
      <c r="O9" s="20"/>
      <c r="P9" s="20"/>
      <c r="Q9" s="22">
        <f t="shared" si="4"/>
        <v>0</v>
      </c>
      <c r="R9" s="19"/>
      <c r="S9" s="32">
        <f>S8</f>
        <v>-7.8125E-3</v>
      </c>
      <c r="T9" s="3"/>
      <c r="U9" s="4"/>
      <c r="V9" s="6"/>
      <c r="W9" s="6">
        <f t="shared" si="5"/>
        <v>0</v>
      </c>
      <c r="X9" s="3"/>
      <c r="Y9" s="32">
        <f>Y8</f>
        <v>-1.1811023622047244E-2</v>
      </c>
      <c r="Z9" s="19"/>
      <c r="AA9" s="20"/>
      <c r="AB9" s="20"/>
      <c r="AC9" s="22"/>
      <c r="AD9" s="19"/>
      <c r="AE9" s="32">
        <f>AE8</f>
        <v>-1.9920318725099601E-2</v>
      </c>
      <c r="AF9" s="3"/>
      <c r="AG9" s="4"/>
      <c r="AH9" s="6"/>
      <c r="AI9" s="6"/>
      <c r="AJ9" s="3"/>
      <c r="AK9" s="32">
        <f>AK8</f>
        <v>8.130081300813009E-3</v>
      </c>
      <c r="AL9" s="19"/>
      <c r="AM9" s="20"/>
      <c r="AN9" s="20"/>
      <c r="AO9" s="22"/>
      <c r="AP9" s="19"/>
      <c r="AQ9" s="32">
        <f>AQ8</f>
        <v>8.0645161290322578E-3</v>
      </c>
      <c r="AR9" s="3"/>
      <c r="AS9" s="4"/>
      <c r="AT9" s="6"/>
      <c r="AU9" s="6"/>
      <c r="AV9" s="3"/>
      <c r="AW9" s="32">
        <f>AW8</f>
        <v>-1.6E-2</v>
      </c>
      <c r="AX9" s="19"/>
      <c r="AY9" s="20"/>
      <c r="AZ9" s="20"/>
      <c r="BA9" s="22"/>
      <c r="BB9" s="19"/>
      <c r="BC9" s="32">
        <f>BC8</f>
        <v>8.130081300813009E-3</v>
      </c>
      <c r="BD9" s="3"/>
      <c r="BE9" s="4"/>
      <c r="BF9" s="6"/>
      <c r="BG9" s="6"/>
      <c r="BH9" s="3"/>
      <c r="BI9" s="32">
        <f>BI8</f>
        <v>8.0645161290322578E-3</v>
      </c>
      <c r="BJ9" s="19"/>
      <c r="BK9" s="20"/>
      <c r="BL9" s="20"/>
      <c r="BM9" s="22"/>
      <c r="BN9" s="19"/>
      <c r="BO9" s="32">
        <f>BO8</f>
        <v>8.0000000000000002E-3</v>
      </c>
      <c r="BP9" s="3"/>
      <c r="BQ9" s="4"/>
      <c r="BR9" s="6"/>
      <c r="BS9" s="6"/>
      <c r="BT9" s="3"/>
      <c r="BU9" s="32">
        <f>BU8</f>
        <v>7.9365079365079365E-4</v>
      </c>
      <c r="BW9" s="2"/>
      <c r="BX9" s="10"/>
    </row>
    <row r="10" spans="1:76" x14ac:dyDescent="0.25">
      <c r="A10" s="2" t="s">
        <v>4</v>
      </c>
      <c r="B10" s="19">
        <v>1200000</v>
      </c>
      <c r="C10" s="20"/>
      <c r="D10" s="20"/>
      <c r="E10" s="22">
        <f t="shared" si="0"/>
        <v>0.20241593209271955</v>
      </c>
      <c r="F10" s="19">
        <v>1205000</v>
      </c>
      <c r="G10" s="23">
        <f>(F10-B10-C10)/(B10+D10*C10)</f>
        <v>4.1666666666666666E-3</v>
      </c>
      <c r="H10" s="3">
        <f t="shared" ref="H10" si="26">F10</f>
        <v>1205000</v>
      </c>
      <c r="I10" s="4"/>
      <c r="J10" s="4"/>
      <c r="K10" s="22">
        <f>(H10+J10*I10)/SUM(H$14:I$14)</f>
        <v>0.19570084567822466</v>
      </c>
      <c r="L10" s="3">
        <v>1215000</v>
      </c>
      <c r="M10" s="25">
        <f t="shared" ref="M10" si="27">(L10-H10-I10)/(H10+J10*I10)</f>
        <v>8.2987551867219917E-3</v>
      </c>
      <c r="N10" s="19">
        <f t="shared" ref="N10" si="28">L10</f>
        <v>1215000</v>
      </c>
      <c r="O10" s="20"/>
      <c r="P10" s="20"/>
      <c r="Q10" s="22">
        <f t="shared" si="4"/>
        <v>0.19622093023255813</v>
      </c>
      <c r="R10" s="19">
        <f>(1+S6)*N10</f>
        <v>1208266.0332541568</v>
      </c>
      <c r="S10" s="23">
        <f>(R10-N10-O10)/(N10+P10*O10)</f>
        <v>-5.5423594615993249E-3</v>
      </c>
      <c r="T10" s="3">
        <f>R10</f>
        <v>1208266.0332541568</v>
      </c>
      <c r="U10" s="4"/>
      <c r="V10" s="4"/>
      <c r="W10" s="6">
        <f t="shared" si="5"/>
        <v>0.1963298347398981</v>
      </c>
      <c r="X10" s="3">
        <v>1200000</v>
      </c>
      <c r="Y10" s="25">
        <f>(X10-T10-U10)/(T10+V10*U10)</f>
        <v>-6.8412361405992394E-3</v>
      </c>
      <c r="Z10" s="19">
        <f>X10</f>
        <v>1200000</v>
      </c>
      <c r="AA10" s="20"/>
      <c r="AB10" s="20"/>
      <c r="AC10" s="22">
        <f>(Z10+AB10*AA10)/SUM(Z$14:AA$77)</f>
        <v>0.19672131147540983</v>
      </c>
      <c r="AD10" s="19">
        <v>1150000</v>
      </c>
      <c r="AE10" s="23">
        <f>(AD10-Z10-AA10)/(Z10+AB10*AA10)</f>
        <v>-4.1666666666666664E-2</v>
      </c>
      <c r="AF10" s="3">
        <f>AD10</f>
        <v>1150000</v>
      </c>
      <c r="AG10" s="4"/>
      <c r="AH10" s="4"/>
      <c r="AI10" s="6">
        <f>(AF10+AH10*AG10)/SUM(AF$14:AG$77)</f>
        <v>0.19360269360269361</v>
      </c>
      <c r="AJ10" s="3">
        <v>1160000</v>
      </c>
      <c r="AK10" s="25">
        <f>(AJ10-AF10-AG10)/(AF10+AH10*AG10)</f>
        <v>8.6956521739130436E-3</v>
      </c>
      <c r="AL10" s="19">
        <f>AJ10</f>
        <v>1160000</v>
      </c>
      <c r="AM10" s="20"/>
      <c r="AN10" s="20"/>
      <c r="AO10" s="22">
        <f>(AL10+AN10*AM10)/SUM(AL$14:AM$77)</f>
        <v>0.19541778975741239</v>
      </c>
      <c r="AP10" s="19">
        <v>1180000</v>
      </c>
      <c r="AQ10" s="23">
        <f>(AP10-AL10-AM10)/(AL10+AN10*AM10)</f>
        <v>1.7241379310344827E-2</v>
      </c>
      <c r="AR10" s="3">
        <f t="shared" ref="AR10" si="29">AP10</f>
        <v>1180000</v>
      </c>
      <c r="AS10" s="4"/>
      <c r="AT10" s="4"/>
      <c r="AU10" s="6">
        <f>(AR10+AT10*AS10)/SUM(AR$14:AS$77)</f>
        <v>0.19719251336898397</v>
      </c>
      <c r="AV10" s="3">
        <v>1227000</v>
      </c>
      <c r="AW10" s="25">
        <f t="shared" ref="AW10" si="30">(AV10-AR10-AS10)/(AR10+AT10*AS10)</f>
        <v>3.9830508474576268E-2</v>
      </c>
      <c r="AX10" s="19">
        <f t="shared" ref="AX10" si="31">AV10</f>
        <v>1227000</v>
      </c>
      <c r="AY10" s="20"/>
      <c r="AZ10" s="20"/>
      <c r="BA10" s="22">
        <f>(AX10+AZ10*AY10)/SUM(AX$14:AY$77)</f>
        <v>0.20355009953550099</v>
      </c>
      <c r="BB10" s="19">
        <v>1240000</v>
      </c>
      <c r="BC10" s="23">
        <f>(BB10-AX10-AY10)/(AX10+AZ10*AY10)</f>
        <v>1.0594947025264874E-2</v>
      </c>
      <c r="BD10" s="3">
        <f t="shared" ref="BD10" si="32">BB10</f>
        <v>1240000</v>
      </c>
      <c r="BE10" s="4">
        <v>15000</v>
      </c>
      <c r="BF10" s="6">
        <f>(31-10+1)/31</f>
        <v>0.70967741935483875</v>
      </c>
      <c r="BG10" s="6">
        <f>(BD10+BF10*BE10)/SUM(BD$14:BE$77)</f>
        <v>0.20613897499428427</v>
      </c>
      <c r="BH10" s="3">
        <v>1260000</v>
      </c>
      <c r="BI10" s="25">
        <f t="shared" ref="BI10" si="33">(BH10-BD10-BE10)/(BD10+BF10*BE10)</f>
        <v>3.9979365488779983E-3</v>
      </c>
      <c r="BJ10" s="19">
        <f t="shared" ref="BJ10" si="34">BH10</f>
        <v>1260000</v>
      </c>
      <c r="BK10" s="20"/>
      <c r="BL10" s="20"/>
      <c r="BM10" s="22">
        <f>(BJ10+BL10*BK10)/SUM(BJ$14:BK$77)</f>
        <v>0.20605069501226492</v>
      </c>
      <c r="BN10" s="19">
        <v>1275000</v>
      </c>
      <c r="BO10" s="23">
        <f>(BN10-BJ10-BK10)/(BJ10+BL10*BK10)</f>
        <v>1.1904761904761904E-2</v>
      </c>
      <c r="BP10" s="3">
        <f t="shared" ref="BP10" si="35">BN10</f>
        <v>1275000</v>
      </c>
      <c r="BQ10" s="4"/>
      <c r="BR10" s="6"/>
      <c r="BS10" s="6">
        <f>(BP10+BR10*BQ10)/SUM(BP$14:BQ$77)</f>
        <v>0.20465489566613163</v>
      </c>
      <c r="BT10" s="3">
        <v>1276000</v>
      </c>
      <c r="BU10" s="25">
        <f t="shared" ref="BU10" si="36">(BT10-BP10-BQ10)/(BP10+BR10*BQ10)</f>
        <v>7.8431372549019605E-4</v>
      </c>
      <c r="BW10" s="2" t="s">
        <v>4</v>
      </c>
      <c r="BX10" s="9">
        <f t="array" ref="BX10">PRODUCT(1+G11:BU11)-1</f>
        <v>5.0638687252047676E-2</v>
      </c>
    </row>
    <row r="11" spans="1:76" hidden="1" x14ac:dyDescent="0.25">
      <c r="A11" s="2"/>
      <c r="B11" s="19"/>
      <c r="C11" s="20"/>
      <c r="D11" s="20"/>
      <c r="E11" s="22">
        <f t="shared" si="0"/>
        <v>0</v>
      </c>
      <c r="F11" s="19"/>
      <c r="G11" s="32">
        <f>G10</f>
        <v>4.1666666666666666E-3</v>
      </c>
      <c r="H11" s="3"/>
      <c r="I11" s="4"/>
      <c r="J11" s="4"/>
      <c r="K11" s="6">
        <f t="shared" si="14"/>
        <v>0</v>
      </c>
      <c r="L11" s="3"/>
      <c r="M11" s="32">
        <f>M10</f>
        <v>8.2987551867219917E-3</v>
      </c>
      <c r="N11" s="19"/>
      <c r="O11" s="20"/>
      <c r="P11" s="20"/>
      <c r="Q11" s="22">
        <f t="shared" si="4"/>
        <v>0</v>
      </c>
      <c r="R11" s="19"/>
      <c r="S11" s="32">
        <f>S10</f>
        <v>-5.5423594615993249E-3</v>
      </c>
      <c r="T11" s="3"/>
      <c r="U11" s="4"/>
      <c r="V11" s="4"/>
      <c r="W11" s="6">
        <f t="shared" si="5"/>
        <v>0</v>
      </c>
      <c r="X11" s="3"/>
      <c r="Y11" s="32">
        <f>Y10</f>
        <v>-6.8412361405992394E-3</v>
      </c>
      <c r="Z11" s="19"/>
      <c r="AA11" s="20"/>
      <c r="AB11" s="20"/>
      <c r="AC11" s="22"/>
      <c r="AD11" s="19"/>
      <c r="AE11" s="32">
        <f>AE10</f>
        <v>-4.1666666666666664E-2</v>
      </c>
      <c r="AF11" s="3"/>
      <c r="AG11" s="4"/>
      <c r="AH11" s="4"/>
      <c r="AI11" s="6"/>
      <c r="AJ11" s="3"/>
      <c r="AK11" s="32">
        <f>AK10</f>
        <v>8.6956521739130436E-3</v>
      </c>
      <c r="AL11" s="19"/>
      <c r="AM11" s="20"/>
      <c r="AN11" s="20"/>
      <c r="AO11" s="22"/>
      <c r="AP11" s="19"/>
      <c r="AQ11" s="32">
        <f>AQ10</f>
        <v>1.7241379310344827E-2</v>
      </c>
      <c r="AR11" s="3"/>
      <c r="AS11" s="4"/>
      <c r="AT11" s="4"/>
      <c r="AU11" s="6"/>
      <c r="AV11" s="3"/>
      <c r="AW11" s="32">
        <f>AW10</f>
        <v>3.9830508474576268E-2</v>
      </c>
      <c r="AX11" s="19"/>
      <c r="AY11" s="20"/>
      <c r="AZ11" s="20"/>
      <c r="BA11" s="22"/>
      <c r="BB11" s="19"/>
      <c r="BC11" s="32">
        <f>BC10</f>
        <v>1.0594947025264874E-2</v>
      </c>
      <c r="BD11" s="3"/>
      <c r="BE11" s="4"/>
      <c r="BF11" s="6"/>
      <c r="BG11" s="6"/>
      <c r="BH11" s="3"/>
      <c r="BI11" s="32">
        <f>BI10</f>
        <v>3.9979365488779983E-3</v>
      </c>
      <c r="BJ11" s="19"/>
      <c r="BK11" s="20"/>
      <c r="BL11" s="20"/>
      <c r="BM11" s="22"/>
      <c r="BN11" s="19"/>
      <c r="BO11" s="32">
        <f>BO10</f>
        <v>1.1904761904761904E-2</v>
      </c>
      <c r="BP11" s="3"/>
      <c r="BQ11" s="4"/>
      <c r="BR11" s="6"/>
      <c r="BS11" s="6"/>
      <c r="BT11" s="3"/>
      <c r="BU11" s="32">
        <f>BU10</f>
        <v>7.8431372549019605E-4</v>
      </c>
      <c r="BW11" s="2"/>
      <c r="BX11" s="10"/>
    </row>
    <row r="12" spans="1:76" x14ac:dyDescent="0.25">
      <c r="A12" s="2" t="s">
        <v>5</v>
      </c>
      <c r="B12" s="19">
        <v>1210000</v>
      </c>
      <c r="C12" s="20"/>
      <c r="D12" s="20"/>
      <c r="E12" s="22">
        <f t="shared" si="0"/>
        <v>0.20410273152682556</v>
      </c>
      <c r="F12" s="19">
        <v>1217000</v>
      </c>
      <c r="G12" s="23">
        <f>(F12-B12-C12)/(B12+D12*C12)</f>
        <v>5.7851239669421484E-3</v>
      </c>
      <c r="H12" s="3">
        <f t="shared" ref="H12" si="37">F12</f>
        <v>1217000</v>
      </c>
      <c r="I12" s="4"/>
      <c r="J12" s="4"/>
      <c r="K12" s="22">
        <f>(H12+J12*I12)/SUM(H$14:I$14)</f>
        <v>0.19764973376796632</v>
      </c>
      <c r="L12" s="3">
        <v>1228000</v>
      </c>
      <c r="M12" s="25">
        <f t="shared" ref="M12" si="38">(L12-H12-I12)/(H12+J12*I12)</f>
        <v>9.0386195562859491E-3</v>
      </c>
      <c r="N12" s="19">
        <f t="shared" ref="N12" si="39">L12</f>
        <v>1228000</v>
      </c>
      <c r="O12" s="20"/>
      <c r="P12" s="20"/>
      <c r="Q12" s="22">
        <f t="shared" si="4"/>
        <v>0.19832041343669252</v>
      </c>
      <c r="R12" s="19">
        <v>1220000</v>
      </c>
      <c r="S12" s="23">
        <f>(R12-N12-O12)/(N12+P12*O12)</f>
        <v>-6.5146579804560263E-3</v>
      </c>
      <c r="T12" s="3">
        <f>R12</f>
        <v>1220000</v>
      </c>
      <c r="U12" s="4"/>
      <c r="V12" s="4"/>
      <c r="W12" s="6">
        <f t="shared" si="5"/>
        <v>0.19823647424531426</v>
      </c>
      <c r="X12" s="3">
        <v>1210000</v>
      </c>
      <c r="Y12" s="25">
        <f>(X12-T12-U12)/(T12+V12*U12)</f>
        <v>-8.1967213114754103E-3</v>
      </c>
      <c r="Z12" s="19">
        <f>X12</f>
        <v>1210000</v>
      </c>
      <c r="AA12" s="20"/>
      <c r="AB12" s="20"/>
      <c r="AC12" s="22">
        <f>(Z12+AB12*AA12)/SUM(Z$14:AA$77)</f>
        <v>0.19836065573770492</v>
      </c>
      <c r="AD12" s="19">
        <v>1180000</v>
      </c>
      <c r="AE12" s="23">
        <f>(AD12-Z12-AA12)/(Z12+AB12*AA12)</f>
        <v>-2.4793388429752067E-2</v>
      </c>
      <c r="AF12" s="3">
        <f>AD12</f>
        <v>1180000</v>
      </c>
      <c r="AG12" s="4"/>
      <c r="AH12" s="4"/>
      <c r="AI12" s="6">
        <f>(AF12+AH12*AG12)/SUM(AF$14:AG$77)</f>
        <v>0.19865319865319866</v>
      </c>
      <c r="AJ12" s="3">
        <v>1190000</v>
      </c>
      <c r="AK12" s="25">
        <f>(AJ12-AF12-AG12)/(AF12+AH12*AG12)</f>
        <v>8.4745762711864406E-3</v>
      </c>
      <c r="AL12" s="19">
        <f>AJ12</f>
        <v>1190000</v>
      </c>
      <c r="AM12" s="20"/>
      <c r="AN12" s="20"/>
      <c r="AO12" s="22">
        <f>(AL12+AN12*AM12)/SUM(AL$14:AM$77)</f>
        <v>0.20047169811320756</v>
      </c>
      <c r="AP12" s="19">
        <v>1200000</v>
      </c>
      <c r="AQ12" s="23">
        <f>(AP12-AL12-AM12)/(AL12+AN12*AM12)</f>
        <v>8.4033613445378148E-3</v>
      </c>
      <c r="AR12" s="3">
        <f t="shared" ref="AR12" si="40">AP12</f>
        <v>1200000</v>
      </c>
      <c r="AS12" s="4"/>
      <c r="AT12" s="4"/>
      <c r="AU12" s="6">
        <f>(AR12+AT12*AS12)/SUM(AR$14:AS$77)</f>
        <v>0.20053475935828877</v>
      </c>
      <c r="AV12" s="3">
        <v>1234000</v>
      </c>
      <c r="AW12" s="25">
        <f t="shared" ref="AW12" si="41">(AV12-AR12-AS12)/(AR12+AT12*AS12)</f>
        <v>2.8333333333333332E-2</v>
      </c>
      <c r="AX12" s="19">
        <f t="shared" ref="AX12" si="42">AV12</f>
        <v>1234000</v>
      </c>
      <c r="AY12" s="20"/>
      <c r="AZ12" s="20"/>
      <c r="BA12" s="22">
        <f>(AX12+AZ12*AY12)/SUM(AX$14:AY$77)</f>
        <v>0.20471134704711347</v>
      </c>
      <c r="BB12" s="19">
        <v>1239000</v>
      </c>
      <c r="BC12" s="23">
        <f>(BB12-AX12-AY12)/(AX12+AZ12*AY12)</f>
        <v>4.0518638573743921E-3</v>
      </c>
      <c r="BD12" s="3">
        <f t="shared" ref="BD12" si="43">BB12</f>
        <v>1239000</v>
      </c>
      <c r="BE12" s="4"/>
      <c r="BF12" s="4"/>
      <c r="BG12" s="6">
        <f>(BD12+BF12*BE12)/SUM(BD$14:BE$77)</f>
        <v>0.20421954837646283</v>
      </c>
      <c r="BH12" s="3">
        <v>1250000</v>
      </c>
      <c r="BI12" s="25">
        <f t="shared" ref="BI12" si="44">(BH12-BD12-BE12)/(BD12+BF12*BE12)</f>
        <v>8.8781275221953195E-3</v>
      </c>
      <c r="BJ12" s="19">
        <f t="shared" ref="BJ12" si="45">BH12</f>
        <v>1250000</v>
      </c>
      <c r="BK12" s="20">
        <v>70000</v>
      </c>
      <c r="BL12" s="29">
        <f>(30-11+1)/30</f>
        <v>0.66666666666666663</v>
      </c>
      <c r="BM12" s="22">
        <f>(BJ12+BL12*BK12)/SUM(BJ$14:BK$77)</f>
        <v>0.21204687925865359</v>
      </c>
      <c r="BN12" s="19">
        <v>1330000</v>
      </c>
      <c r="BO12" s="23">
        <f>(BN12-BJ12-BK12)/(BJ12+BL12*BK12)</f>
        <v>7.7120822622107968E-3</v>
      </c>
      <c r="BP12" s="3">
        <f t="shared" ref="BP12" si="46">BN12</f>
        <v>1330000</v>
      </c>
      <c r="BQ12" s="4"/>
      <c r="BR12" s="4"/>
      <c r="BS12" s="6">
        <f>(BP12+BR12*BQ12)/SUM(BP$14:BQ$77)</f>
        <v>0.21348314606741572</v>
      </c>
      <c r="BT12" s="3">
        <v>1331000</v>
      </c>
      <c r="BU12" s="25">
        <f t="shared" ref="BU12" si="47">(BT12-BP12-BQ12)/(BP12+BR12*BQ12)</f>
        <v>7.5187969924812035E-4</v>
      </c>
      <c r="BW12" s="2" t="s">
        <v>5</v>
      </c>
      <c r="BX12" s="9">
        <f t="array" ref="BX12">PRODUCT(1+G13:BU13)-1</f>
        <v>4.1807603842511032E-2</v>
      </c>
    </row>
    <row r="13" spans="1:76" hidden="1" x14ac:dyDescent="0.25">
      <c r="A13" s="2"/>
      <c r="B13" s="19"/>
      <c r="C13" s="20"/>
      <c r="D13" s="20"/>
      <c r="E13" s="22"/>
      <c r="F13" s="19"/>
      <c r="G13" s="32">
        <f>G12</f>
        <v>5.7851239669421484E-3</v>
      </c>
      <c r="H13" s="3"/>
      <c r="I13" s="4"/>
      <c r="J13" s="4"/>
      <c r="K13" s="6"/>
      <c r="L13" s="3"/>
      <c r="M13" s="32">
        <f>M12</f>
        <v>9.0386195562859491E-3</v>
      </c>
      <c r="N13" s="19"/>
      <c r="O13" s="20"/>
      <c r="P13" s="20"/>
      <c r="Q13" s="22"/>
      <c r="R13" s="19"/>
      <c r="S13" s="32">
        <f>S12</f>
        <v>-6.5146579804560263E-3</v>
      </c>
      <c r="T13" s="3"/>
      <c r="U13" s="4"/>
      <c r="V13" s="4"/>
      <c r="W13" s="6"/>
      <c r="X13" s="3"/>
      <c r="Y13" s="32">
        <f>Y12</f>
        <v>-8.1967213114754103E-3</v>
      </c>
      <c r="Z13" s="19"/>
      <c r="AA13" s="20"/>
      <c r="AB13" s="20"/>
      <c r="AC13" s="22"/>
      <c r="AD13" s="19"/>
      <c r="AE13" s="32">
        <f>AE12</f>
        <v>-2.4793388429752067E-2</v>
      </c>
      <c r="AF13" s="3"/>
      <c r="AG13" s="4"/>
      <c r="AH13" s="4"/>
      <c r="AI13" s="6"/>
      <c r="AJ13" s="3"/>
      <c r="AK13" s="32">
        <f>AK12</f>
        <v>8.4745762711864406E-3</v>
      </c>
      <c r="AL13" s="19"/>
      <c r="AM13" s="20"/>
      <c r="AN13" s="20"/>
      <c r="AO13" s="22"/>
      <c r="AP13" s="19"/>
      <c r="AQ13" s="32">
        <f>AQ12</f>
        <v>8.4033613445378148E-3</v>
      </c>
      <c r="AR13" s="3"/>
      <c r="AS13" s="4"/>
      <c r="AT13" s="4"/>
      <c r="AU13" s="6"/>
      <c r="AV13" s="3"/>
      <c r="AW13" s="32">
        <f>AW12</f>
        <v>2.8333333333333332E-2</v>
      </c>
      <c r="AX13" s="19"/>
      <c r="AY13" s="20"/>
      <c r="AZ13" s="20"/>
      <c r="BA13" s="22"/>
      <c r="BB13" s="19"/>
      <c r="BC13" s="32">
        <f>BC12</f>
        <v>4.0518638573743921E-3</v>
      </c>
      <c r="BD13" s="3"/>
      <c r="BE13" s="4"/>
      <c r="BF13" s="4"/>
      <c r="BG13" s="6"/>
      <c r="BH13" s="3"/>
      <c r="BI13" s="32">
        <f>BI12</f>
        <v>8.8781275221953195E-3</v>
      </c>
      <c r="BJ13" s="19"/>
      <c r="BK13" s="20"/>
      <c r="BL13" s="29"/>
      <c r="BM13" s="22"/>
      <c r="BN13" s="19"/>
      <c r="BO13" s="32">
        <f>BO12</f>
        <v>7.7120822622107968E-3</v>
      </c>
      <c r="BP13" s="3"/>
      <c r="BQ13" s="4"/>
      <c r="BR13" s="4"/>
      <c r="BS13" s="6"/>
      <c r="BT13" s="3"/>
      <c r="BU13" s="32">
        <f>BU12</f>
        <v>7.5187969924812035E-4</v>
      </c>
      <c r="BW13" s="2"/>
      <c r="BX13" s="10"/>
    </row>
    <row r="14" spans="1:76" x14ac:dyDescent="0.25">
      <c r="A14" s="2" t="s">
        <v>60</v>
      </c>
      <c r="B14" s="19">
        <f>SUM(B4:B12)</f>
        <v>5830000</v>
      </c>
      <c r="C14" s="19">
        <f>C4*D4+C6*D6</f>
        <v>98387.096774193546</v>
      </c>
      <c r="D14" s="19"/>
      <c r="E14" s="24">
        <f>SUM(E4:E12)</f>
        <v>1</v>
      </c>
      <c r="F14" s="19">
        <f>SUM(F4:F12)</f>
        <v>6064500</v>
      </c>
      <c r="G14" s="23">
        <f>SUMPRODUCT(E4:E12,G4:G12)</f>
        <v>1.425345521819567E-2</v>
      </c>
      <c r="H14" s="3">
        <f>SUM(H4:H12)</f>
        <v>6064500</v>
      </c>
      <c r="I14" s="3">
        <f>PRODUCT(I8:J8)</f>
        <v>92857.142857142855</v>
      </c>
      <c r="J14" s="58">
        <f>J8</f>
        <v>0.9285714285714286</v>
      </c>
      <c r="K14" s="24">
        <f>SUM(K4:K12)</f>
        <v>1</v>
      </c>
      <c r="L14" s="3">
        <f>SUM(L4:L12)</f>
        <v>6192000</v>
      </c>
      <c r="M14" s="9">
        <f>SUMPRODUCT(K4:K12,M4:M12)</f>
        <v>4.4662018723246287E-3</v>
      </c>
      <c r="N14" s="19">
        <f>SUM(N4:N12)</f>
        <v>6192000</v>
      </c>
      <c r="O14" s="19">
        <f>O4*P4+O6*P6</f>
        <v>0</v>
      </c>
      <c r="P14" s="19"/>
      <c r="Q14" s="24">
        <f>SUM(Q4:Q12)</f>
        <v>1</v>
      </c>
      <c r="R14" s="19">
        <f>SUM(R4:R12)</f>
        <v>6154266.0332541568</v>
      </c>
      <c r="S14" s="23">
        <f>SUMPRODUCT(Q4:Q12,S4:S12)</f>
        <v>-6.0939868775586534E-3</v>
      </c>
      <c r="T14" s="3">
        <f>SUM(T4:T12)</f>
        <v>6154266.0332541568</v>
      </c>
      <c r="U14" s="3">
        <f>U4*V4+U6*V6</f>
        <v>0</v>
      </c>
      <c r="V14" s="3"/>
      <c r="W14" s="7">
        <f>SUM(W4:W12)</f>
        <v>1</v>
      </c>
      <c r="X14" s="3">
        <f>SUM(X4:X12)</f>
        <v>6100000</v>
      </c>
      <c r="Y14" s="9">
        <f>SUMPRODUCT(W4:W12,Y4:Y12)</f>
        <v>-8.8176287734287092E-3</v>
      </c>
      <c r="Z14" s="19">
        <f>SUM(Z4:Z12)</f>
        <v>6100000</v>
      </c>
      <c r="AA14" s="19">
        <f>AA4*AB4+AA6*AB6</f>
        <v>0</v>
      </c>
      <c r="AB14" s="19"/>
      <c r="AC14" s="24">
        <f>SUM(AC4:AC12)</f>
        <v>1</v>
      </c>
      <c r="AD14" s="19">
        <f>SUM(AD4:AD12)</f>
        <v>5940000</v>
      </c>
      <c r="AE14" s="23">
        <f>SUMPRODUCT(AC4:AC12,AE4:AE12)</f>
        <v>-2.6229508196721311E-2</v>
      </c>
      <c r="AF14" s="3">
        <f>SUM(AF4:AF12)</f>
        <v>5940000</v>
      </c>
      <c r="AG14" s="3">
        <f>AG4*AH4+AG6*AH6</f>
        <v>0</v>
      </c>
      <c r="AH14" s="3"/>
      <c r="AI14" s="7">
        <f>SUM(AI4:AI12)</f>
        <v>0.99999999999999989</v>
      </c>
      <c r="AJ14" s="3">
        <f>SUM(AJ4:AJ12)</f>
        <v>5936000</v>
      </c>
      <c r="AK14" s="9">
        <f>SUMPRODUCT(AI4:AI12,AK4:AK12)</f>
        <v>-6.7340067340067311E-4</v>
      </c>
      <c r="AL14" s="19">
        <f>SUM(AL4:AL12)</f>
        <v>5936000</v>
      </c>
      <c r="AM14" s="19">
        <f>AM4*AN4+AM6*AN6</f>
        <v>0</v>
      </c>
      <c r="AN14" s="19"/>
      <c r="AO14" s="24">
        <f>SUM(AO4:AO12)</f>
        <v>1</v>
      </c>
      <c r="AP14" s="19">
        <f>SUM(AP4:AP12)</f>
        <v>5984000</v>
      </c>
      <c r="AQ14" s="23">
        <f>SUMPRODUCT(AO4:AO12,AQ4:AQ12)</f>
        <v>8.0862533692722376E-3</v>
      </c>
      <c r="AR14" s="3">
        <f>SUM(AR4:AR12)</f>
        <v>5984000</v>
      </c>
      <c r="AS14" s="3">
        <f>AS4*AT4+AS6*AT6</f>
        <v>0</v>
      </c>
      <c r="AT14" s="3"/>
      <c r="AU14" s="7">
        <f>SUM(AU4:AU12)</f>
        <v>1</v>
      </c>
      <c r="AV14" s="3">
        <f>SUM(AV4:AV12)</f>
        <v>6028000</v>
      </c>
      <c r="AW14" s="9">
        <f>SUMPRODUCT(AU4:AU12,AW4:AW12)</f>
        <v>7.3529411764705873E-3</v>
      </c>
      <c r="AX14" s="19">
        <f>SUM(AX4:AX12)</f>
        <v>6028000</v>
      </c>
      <c r="AY14" s="19">
        <f>AY4*AZ4+AY6*AZ6</f>
        <v>0</v>
      </c>
      <c r="AZ14" s="19"/>
      <c r="BA14" s="24">
        <f>SUM(BA4:BA12)</f>
        <v>1</v>
      </c>
      <c r="BB14" s="19">
        <f>SUM(BB4:BB12)</f>
        <v>6067000</v>
      </c>
      <c r="BC14" s="23">
        <f>SUMPRODUCT(BA4:BA12,BC4:BC12)</f>
        <v>6.4698075646980758E-3</v>
      </c>
      <c r="BD14" s="3">
        <f>SUM(BD4:BD12)</f>
        <v>6067000</v>
      </c>
      <c r="BE14" s="3">
        <f>BE4*BF4+BE6*BF6</f>
        <v>0</v>
      </c>
      <c r="BF14" s="3"/>
      <c r="BG14" s="7">
        <f>SUM(BG4:BG12)</f>
        <v>1.0017546005093658</v>
      </c>
      <c r="BH14" s="3">
        <f>SUM(BH4:BH12)</f>
        <v>6115000</v>
      </c>
      <c r="BI14" s="9">
        <f>SUMPRODUCT(BG4:BG12,BI4:BI12)</f>
        <v>5.4392615790341183E-3</v>
      </c>
      <c r="BJ14" s="19">
        <f>SUM(BJ4:BJ12)</f>
        <v>6115000</v>
      </c>
      <c r="BK14" s="19">
        <f>BK4*BL4+BK6*BL6</f>
        <v>0</v>
      </c>
      <c r="BL14" s="19"/>
      <c r="BM14" s="24">
        <f>SUM(BM4:BM12)</f>
        <v>1.0076315072226765</v>
      </c>
      <c r="BN14" s="19">
        <f>SUM(BN4:BN12)</f>
        <v>6230000</v>
      </c>
      <c r="BO14" s="23">
        <f>SUMPRODUCT(BM4:BM12,BO4:BO12)</f>
        <v>7.3589533932951756E-3</v>
      </c>
      <c r="BP14" s="3">
        <f>SUM(BP4:BP12)</f>
        <v>6230000</v>
      </c>
      <c r="BQ14" s="3">
        <f>BQ4*BR4+BQ6*BR6</f>
        <v>0</v>
      </c>
      <c r="BR14" s="3"/>
      <c r="BS14" s="7">
        <f>SUM(BS4:BS12)</f>
        <v>0.99999999999999989</v>
      </c>
      <c r="BT14" s="3">
        <f>SUM(BT4:BT12)</f>
        <v>6245000</v>
      </c>
      <c r="BU14" s="9">
        <f>SUMPRODUCT(BS4:BS12,BU4:BU12)</f>
        <v>2.4077046548956664E-3</v>
      </c>
      <c r="BW14" s="2" t="s">
        <v>60</v>
      </c>
      <c r="BX14" s="9">
        <f t="array" ref="BX14">PRODUCT(1+G15:BU15)-1</f>
        <v>1.3466408025684551E-2</v>
      </c>
    </row>
    <row r="15" spans="1:76" s="27" customFormat="1" hidden="1" x14ac:dyDescent="0.25">
      <c r="A15" s="26"/>
      <c r="G15" s="28">
        <f>G14</f>
        <v>1.425345521819567E-2</v>
      </c>
      <c r="M15" s="28">
        <f>M14</f>
        <v>4.4662018723246287E-3</v>
      </c>
      <c r="S15" s="28">
        <f>S14</f>
        <v>-6.0939868775586534E-3</v>
      </c>
      <c r="Y15" s="28">
        <f>Y14</f>
        <v>-8.8176287734287092E-3</v>
      </c>
      <c r="AE15" s="28">
        <f>AE14</f>
        <v>-2.6229508196721311E-2</v>
      </c>
      <c r="AK15" s="28">
        <f>AK14</f>
        <v>-6.7340067340067311E-4</v>
      </c>
      <c r="AQ15" s="28">
        <f>AQ14</f>
        <v>8.0862533692722376E-3</v>
      </c>
      <c r="AW15" s="28">
        <f>AW14</f>
        <v>7.3529411764705873E-3</v>
      </c>
      <c r="BC15" s="28">
        <f>BC14</f>
        <v>6.4698075646980758E-3</v>
      </c>
      <c r="BI15" s="28">
        <f>BI14</f>
        <v>5.4392615790341183E-3</v>
      </c>
      <c r="BO15" s="28">
        <f>BO14</f>
        <v>7.3589533932951756E-3</v>
      </c>
      <c r="BU15" s="28">
        <f>BU14</f>
        <v>2.4077046548956664E-3</v>
      </c>
      <c r="BV15" s="33"/>
    </row>
    <row r="16" spans="1:76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x14ac:dyDescent="0.25">
      <c r="B17" s="73" t="s">
        <v>46</v>
      </c>
      <c r="C17" s="73"/>
      <c r="D17" s="73"/>
      <c r="E17" s="73"/>
      <c r="F17" s="73"/>
      <c r="G17" s="73"/>
      <c r="H17" s="72" t="s">
        <v>48</v>
      </c>
      <c r="I17" s="72"/>
      <c r="J17" s="72"/>
      <c r="K17" s="72"/>
      <c r="L17" s="72"/>
      <c r="M17" s="72"/>
      <c r="N17" s="73" t="s">
        <v>47</v>
      </c>
      <c r="O17" s="73"/>
      <c r="P17" s="73"/>
      <c r="Q17" s="73"/>
      <c r="R17" s="73"/>
      <c r="S17" s="73"/>
    </row>
    <row r="18" spans="1:19" ht="30" x14ac:dyDescent="0.25">
      <c r="A18" s="14" t="s">
        <v>0</v>
      </c>
      <c r="B18" s="37" t="s">
        <v>59</v>
      </c>
      <c r="C18" s="38" t="s">
        <v>39</v>
      </c>
      <c r="D18" s="38" t="s">
        <v>62</v>
      </c>
      <c r="E18" s="38" t="s">
        <v>41</v>
      </c>
      <c r="F18" s="37" t="s">
        <v>61</v>
      </c>
      <c r="G18" s="37" t="s">
        <v>42</v>
      </c>
      <c r="H18" s="56" t="s">
        <v>59</v>
      </c>
      <c r="I18" s="57" t="s">
        <v>39</v>
      </c>
      <c r="J18" s="57" t="s">
        <v>62</v>
      </c>
      <c r="K18" s="57" t="s">
        <v>41</v>
      </c>
      <c r="L18" s="56" t="s">
        <v>61</v>
      </c>
      <c r="M18" s="56" t="s">
        <v>42</v>
      </c>
      <c r="N18" s="37" t="s">
        <v>59</v>
      </c>
      <c r="O18" s="38" t="s">
        <v>39</v>
      </c>
      <c r="P18" s="38" t="s">
        <v>62</v>
      </c>
      <c r="Q18" s="38" t="s">
        <v>41</v>
      </c>
      <c r="R18" s="37" t="s">
        <v>61</v>
      </c>
      <c r="S18" s="37" t="s">
        <v>42</v>
      </c>
    </row>
    <row r="19" spans="1:19" x14ac:dyDescent="0.25">
      <c r="A19" s="2" t="s">
        <v>2</v>
      </c>
      <c r="B19" s="3">
        <f>R4</f>
        <v>1200000</v>
      </c>
      <c r="C19" s="4"/>
      <c r="D19" s="5"/>
      <c r="E19" s="6">
        <f>(B19+D19*C19)/SUM(B$29:C$29)</f>
        <v>0.19498669597899762</v>
      </c>
      <c r="F19" s="3">
        <v>1185000</v>
      </c>
      <c r="G19" s="25">
        <f>(F19-B19-C19)/(B19+D19*C19)</f>
        <v>-1.2500000000000001E-2</v>
      </c>
      <c r="H19" s="19">
        <f>F19</f>
        <v>1185000</v>
      </c>
      <c r="I19" s="20"/>
      <c r="J19" s="21"/>
      <c r="K19" s="55">
        <f>(H19+J19*I19)/SUM(H$29:I$29)</f>
        <v>0.19426229508196721</v>
      </c>
      <c r="L19" s="19">
        <v>1180000</v>
      </c>
      <c r="M19" s="23">
        <f>(L19-H19-I19)/(H19+J19*I19)</f>
        <v>-4.2194092827004216E-3</v>
      </c>
      <c r="N19" s="3">
        <f>L19</f>
        <v>1180000</v>
      </c>
      <c r="O19" s="4"/>
      <c r="P19" s="5"/>
      <c r="Q19" s="6">
        <f>(N19+P19*O19)/SUM(N$29:O$29)</f>
        <v>0.19865319865319866</v>
      </c>
      <c r="R19" s="3">
        <v>1170000</v>
      </c>
      <c r="S19" s="25">
        <f>(R19-N19-O19)/(N19+P19*O19)</f>
        <v>-8.4745762711864406E-3</v>
      </c>
    </row>
    <row r="20" spans="1:19" hidden="1" x14ac:dyDescent="0.25">
      <c r="A20" s="2"/>
      <c r="B20" s="3"/>
      <c r="C20" s="4"/>
      <c r="D20" s="5"/>
      <c r="E20" s="6"/>
      <c r="F20" s="3"/>
      <c r="G20" s="32">
        <f>G19</f>
        <v>-1.2500000000000001E-2</v>
      </c>
      <c r="H20" s="19"/>
      <c r="I20" s="20"/>
      <c r="J20" s="21"/>
      <c r="K20" s="55"/>
      <c r="L20" s="19"/>
      <c r="M20" s="32">
        <f>M19</f>
        <v>-4.2194092827004216E-3</v>
      </c>
      <c r="N20" s="3"/>
      <c r="O20" s="4"/>
      <c r="P20" s="5"/>
      <c r="Q20" s="6">
        <f>(N20+P20*O20)/SUM($C$29:N$29)</f>
        <v>0</v>
      </c>
      <c r="R20" s="3"/>
      <c r="S20" s="32">
        <f>S19</f>
        <v>-8.4745762711864406E-3</v>
      </c>
    </row>
    <row r="21" spans="1:19" x14ac:dyDescent="0.25">
      <c r="A21" s="2" t="s">
        <v>3</v>
      </c>
      <c r="B21" s="3">
        <f>R6</f>
        <v>1256000</v>
      </c>
      <c r="C21" s="4"/>
      <c r="D21" s="5"/>
      <c r="E21" s="6">
        <f t="shared" ref="E21:E27" si="48">(B21+D21*C21)/SUM(B$29:C$29)</f>
        <v>0.20408607512468419</v>
      </c>
      <c r="F21" s="3">
        <v>1250000</v>
      </c>
      <c r="G21" s="25">
        <f>(F21-B21-C21)/(B21+D21*C21)</f>
        <v>-4.7770700636942673E-3</v>
      </c>
      <c r="H21" s="19">
        <f>F21</f>
        <v>1250000</v>
      </c>
      <c r="I21" s="20"/>
      <c r="J21" s="21"/>
      <c r="K21" s="55">
        <f t="shared" ref="K21:K27" si="49">(H21+J21*I21)/SUM(H$29:I$29)</f>
        <v>0.20491803278688525</v>
      </c>
      <c r="L21" s="19">
        <v>1200000</v>
      </c>
      <c r="M21" s="23">
        <f>(L21-H21-I21)/(H21+J21*I21)</f>
        <v>-0.04</v>
      </c>
      <c r="N21" s="3">
        <f>L21</f>
        <v>1200000</v>
      </c>
      <c r="O21" s="4"/>
      <c r="P21" s="5"/>
      <c r="Q21" s="6">
        <f t="shared" ref="Q21:Q27" si="50">(N21+P21*O21)/SUM(N$29:O$29)</f>
        <v>0.20202020202020202</v>
      </c>
      <c r="R21" s="3">
        <v>1176000</v>
      </c>
      <c r="S21" s="25">
        <f>(R21-N21-O21)/(N21+P21*O21)</f>
        <v>-0.02</v>
      </c>
    </row>
    <row r="22" spans="1:19" hidden="1" x14ac:dyDescent="0.25">
      <c r="A22" s="2"/>
      <c r="B22" s="3"/>
      <c r="C22" s="4"/>
      <c r="D22" s="5"/>
      <c r="E22" s="6">
        <f t="shared" si="48"/>
        <v>0</v>
      </c>
      <c r="F22" s="3"/>
      <c r="G22" s="32">
        <f>G21</f>
        <v>-4.7770700636942673E-3</v>
      </c>
      <c r="H22" s="19"/>
      <c r="I22" s="20"/>
      <c r="J22" s="21"/>
      <c r="K22" s="55">
        <f t="shared" si="49"/>
        <v>0</v>
      </c>
      <c r="L22" s="19"/>
      <c r="M22" s="32">
        <f>M21</f>
        <v>-0.04</v>
      </c>
      <c r="N22" s="3"/>
      <c r="O22" s="4"/>
      <c r="P22" s="5"/>
      <c r="Q22" s="6">
        <f t="shared" si="50"/>
        <v>0</v>
      </c>
      <c r="R22" s="3"/>
      <c r="S22" s="32">
        <f>S21</f>
        <v>-0.02</v>
      </c>
    </row>
    <row r="23" spans="1:19" x14ac:dyDescent="0.25">
      <c r="A23" s="2" t="s">
        <v>1</v>
      </c>
      <c r="B23" s="3">
        <f>R8</f>
        <v>1270000</v>
      </c>
      <c r="C23" s="4"/>
      <c r="D23" s="6"/>
      <c r="E23" s="6">
        <f t="shared" si="48"/>
        <v>0.20636091991110583</v>
      </c>
      <c r="F23" s="3">
        <v>1255000</v>
      </c>
      <c r="G23" s="25">
        <f>(F23-B23-C23)/(B23+D23*C23)</f>
        <v>-1.1811023622047244E-2</v>
      </c>
      <c r="H23" s="19">
        <f>F23</f>
        <v>1255000</v>
      </c>
      <c r="I23" s="20"/>
      <c r="J23" s="20"/>
      <c r="K23" s="55">
        <f t="shared" si="49"/>
        <v>0.20573770491803278</v>
      </c>
      <c r="L23" s="19">
        <v>1230000</v>
      </c>
      <c r="M23" s="23">
        <f>(L23-H23-I23)/(H23+J23*I23)</f>
        <v>-1.9920318725099601E-2</v>
      </c>
      <c r="N23" s="3">
        <f>L23</f>
        <v>1230000</v>
      </c>
      <c r="O23" s="4"/>
      <c r="P23" s="6"/>
      <c r="Q23" s="6">
        <f t="shared" si="50"/>
        <v>0.20707070707070707</v>
      </c>
      <c r="R23" s="3">
        <v>1240000</v>
      </c>
      <c r="S23" s="25">
        <f>(R23-N23-O23)/(N23+P23*O23)</f>
        <v>8.130081300813009E-3</v>
      </c>
    </row>
    <row r="24" spans="1:19" hidden="1" x14ac:dyDescent="0.25">
      <c r="A24" s="2"/>
      <c r="B24" s="3"/>
      <c r="C24" s="4"/>
      <c r="D24" s="6"/>
      <c r="E24" s="6">
        <f t="shared" si="48"/>
        <v>0</v>
      </c>
      <c r="F24" s="3"/>
      <c r="G24" s="32">
        <f>G23</f>
        <v>-1.1811023622047244E-2</v>
      </c>
      <c r="H24" s="19"/>
      <c r="I24" s="20"/>
      <c r="J24" s="20"/>
      <c r="K24" s="55">
        <f t="shared" si="49"/>
        <v>0</v>
      </c>
      <c r="L24" s="19"/>
      <c r="M24" s="32">
        <f>M23</f>
        <v>-1.9920318725099601E-2</v>
      </c>
      <c r="N24" s="3"/>
      <c r="O24" s="4"/>
      <c r="P24" s="6"/>
      <c r="Q24" s="6">
        <f t="shared" si="50"/>
        <v>0</v>
      </c>
      <c r="R24" s="3"/>
      <c r="S24" s="32">
        <f>S23</f>
        <v>8.130081300813009E-3</v>
      </c>
    </row>
    <row r="25" spans="1:19" x14ac:dyDescent="0.25">
      <c r="A25" s="2" t="s">
        <v>4</v>
      </c>
      <c r="B25" s="3">
        <f>R10</f>
        <v>1208266.0332541568</v>
      </c>
      <c r="C25" s="4"/>
      <c r="D25" s="4"/>
      <c r="E25" s="6">
        <f t="shared" si="48"/>
        <v>0.1963298347398981</v>
      </c>
      <c r="F25" s="3">
        <v>1200000</v>
      </c>
      <c r="G25" s="25">
        <f>(F25-B25-C25)/(B25+D25*C25)</f>
        <v>-6.8412361405992394E-3</v>
      </c>
      <c r="H25" s="19">
        <f>F25</f>
        <v>1200000</v>
      </c>
      <c r="I25" s="20"/>
      <c r="J25" s="20"/>
      <c r="K25" s="55">
        <f t="shared" si="49"/>
        <v>0.19672131147540983</v>
      </c>
      <c r="L25" s="19">
        <v>1150000</v>
      </c>
      <c r="M25" s="23">
        <f>(L25-H25-I25)/(H25+J25*I25)</f>
        <v>-4.1666666666666664E-2</v>
      </c>
      <c r="N25" s="3">
        <f>L25</f>
        <v>1150000</v>
      </c>
      <c r="O25" s="4"/>
      <c r="P25" s="4"/>
      <c r="Q25" s="6">
        <f t="shared" si="50"/>
        <v>0.19360269360269361</v>
      </c>
      <c r="R25" s="3">
        <v>1160000</v>
      </c>
      <c r="S25" s="25">
        <f>(R25-N25-O25)/(N25+P25*O25)</f>
        <v>8.6956521739130436E-3</v>
      </c>
    </row>
    <row r="26" spans="1:19" hidden="1" x14ac:dyDescent="0.25">
      <c r="A26" s="2"/>
      <c r="B26" s="3"/>
      <c r="C26" s="4"/>
      <c r="D26" s="4"/>
      <c r="E26" s="6">
        <f t="shared" si="48"/>
        <v>0</v>
      </c>
      <c r="F26" s="3"/>
      <c r="G26" s="32">
        <f>G25</f>
        <v>-6.8412361405992394E-3</v>
      </c>
      <c r="H26" s="19"/>
      <c r="I26" s="20"/>
      <c r="J26" s="20"/>
      <c r="K26" s="55">
        <f t="shared" si="49"/>
        <v>0</v>
      </c>
      <c r="L26" s="19"/>
      <c r="M26" s="32">
        <f>M25</f>
        <v>-4.1666666666666664E-2</v>
      </c>
      <c r="N26" s="3"/>
      <c r="O26" s="4"/>
      <c r="P26" s="4"/>
      <c r="Q26" s="6">
        <f t="shared" si="50"/>
        <v>0</v>
      </c>
      <c r="R26" s="3"/>
      <c r="S26" s="32">
        <f>S25</f>
        <v>8.6956521739130436E-3</v>
      </c>
    </row>
    <row r="27" spans="1:19" x14ac:dyDescent="0.25">
      <c r="A27" s="2" t="s">
        <v>5</v>
      </c>
      <c r="B27" s="3">
        <f>R12</f>
        <v>1220000</v>
      </c>
      <c r="C27" s="4"/>
      <c r="D27" s="4"/>
      <c r="E27" s="6">
        <f t="shared" si="48"/>
        <v>0.19823647424531426</v>
      </c>
      <c r="F27" s="3">
        <v>1210000</v>
      </c>
      <c r="G27" s="25">
        <f>(F27-B27-C27)/(B27+D27*C27)</f>
        <v>-8.1967213114754103E-3</v>
      </c>
      <c r="H27" s="19">
        <f>F27</f>
        <v>1210000</v>
      </c>
      <c r="I27" s="20"/>
      <c r="J27" s="20"/>
      <c r="K27" s="55">
        <f t="shared" si="49"/>
        <v>0.19836065573770492</v>
      </c>
      <c r="L27" s="19">
        <v>1180000</v>
      </c>
      <c r="M27" s="23">
        <f>(L27-H27-I27)/(H27+J27*I27)</f>
        <v>-2.4793388429752067E-2</v>
      </c>
      <c r="N27" s="3">
        <f>L27</f>
        <v>1180000</v>
      </c>
      <c r="O27" s="4"/>
      <c r="P27" s="4"/>
      <c r="Q27" s="6">
        <f t="shared" si="50"/>
        <v>0.19865319865319866</v>
      </c>
      <c r="R27" s="3">
        <v>1190000</v>
      </c>
      <c r="S27" s="25">
        <f>(R27-N27-O27)/(N27+P27*O27)</f>
        <v>8.4745762711864406E-3</v>
      </c>
    </row>
    <row r="28" spans="1:19" hidden="1" x14ac:dyDescent="0.25">
      <c r="A28" s="2"/>
      <c r="B28" s="3"/>
      <c r="C28" s="4"/>
      <c r="D28" s="4"/>
      <c r="E28" s="9"/>
      <c r="F28" s="3"/>
      <c r="G28" s="32">
        <f>G27</f>
        <v>-8.1967213114754103E-3</v>
      </c>
      <c r="H28" s="19"/>
      <c r="I28" s="20"/>
      <c r="J28" s="20"/>
      <c r="K28" s="22"/>
      <c r="L28" s="19"/>
      <c r="M28" s="32">
        <f>M27</f>
        <v>-2.4793388429752067E-2</v>
      </c>
      <c r="N28" s="3"/>
      <c r="O28" s="4"/>
      <c r="P28" s="4"/>
      <c r="Q28" s="6"/>
      <c r="R28" s="3"/>
      <c r="S28" s="32">
        <f>S27</f>
        <v>8.4745762711864406E-3</v>
      </c>
    </row>
    <row r="29" spans="1:19" x14ac:dyDescent="0.25">
      <c r="A29" s="2" t="s">
        <v>60</v>
      </c>
      <c r="B29" s="3">
        <f>SUM(B19:B27)</f>
        <v>6154266.0332541568</v>
      </c>
      <c r="C29" s="3">
        <f>C19*D19+C21*D21</f>
        <v>0</v>
      </c>
      <c r="D29" s="3"/>
      <c r="E29" s="11">
        <f>SUM(E19:E27)</f>
        <v>1</v>
      </c>
      <c r="F29" s="3">
        <f>SUM(F19:F27)</f>
        <v>6100000</v>
      </c>
      <c r="G29" s="9">
        <f>SUMPRODUCT(E19:E27,G19:G27)</f>
        <v>-8.8176287734287092E-3</v>
      </c>
      <c r="H29" s="19">
        <f>SUM(H19:H27)</f>
        <v>6100000</v>
      </c>
      <c r="I29" s="19">
        <f>I19*J19+I21*J21</f>
        <v>0</v>
      </c>
      <c r="J29" s="19"/>
      <c r="K29" s="24">
        <f>SUM(K19:K27)</f>
        <v>1</v>
      </c>
      <c r="L29" s="19">
        <f>SUM(L19:L27)</f>
        <v>5940000</v>
      </c>
      <c r="M29" s="23">
        <f>SUMPRODUCT(K19:K27,M19:M27)</f>
        <v>-2.6229508196721311E-2</v>
      </c>
      <c r="N29" s="3">
        <f>SUM(N19:N27)</f>
        <v>5940000</v>
      </c>
      <c r="O29" s="3">
        <f>O19*P19+O21*P21</f>
        <v>0</v>
      </c>
      <c r="P29" s="3"/>
      <c r="Q29" s="7">
        <f>SUM(Q19:Q27)</f>
        <v>0.99999999999999989</v>
      </c>
      <c r="R29" s="3">
        <f>SUM(R19:R27)</f>
        <v>5936000</v>
      </c>
      <c r="S29" s="9">
        <f>SUMPRODUCT(Q19:Q27,S19:S27)</f>
        <v>-6.7340067340067311E-4</v>
      </c>
    </row>
    <row r="30" spans="1:19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1:19" x14ac:dyDescent="0.25">
      <c r="B31" s="72" t="s">
        <v>49</v>
      </c>
      <c r="C31" s="72"/>
      <c r="D31" s="72"/>
      <c r="E31" s="72"/>
      <c r="F31" s="72"/>
      <c r="G31" s="72"/>
      <c r="H31" s="73" t="s">
        <v>50</v>
      </c>
      <c r="I31" s="73"/>
      <c r="J31" s="73"/>
      <c r="K31" s="73"/>
      <c r="L31" s="73"/>
      <c r="M31" s="73"/>
      <c r="N31" s="72" t="s">
        <v>51</v>
      </c>
      <c r="O31" s="72"/>
      <c r="P31" s="72"/>
      <c r="Q31" s="72"/>
      <c r="R31" s="72"/>
      <c r="S31" s="72"/>
    </row>
    <row r="32" spans="1:19" ht="30" x14ac:dyDescent="0.25">
      <c r="A32" s="14" t="s">
        <v>0</v>
      </c>
      <c r="B32" s="56" t="s">
        <v>59</v>
      </c>
      <c r="C32" s="57" t="s">
        <v>39</v>
      </c>
      <c r="D32" s="57" t="s">
        <v>62</v>
      </c>
      <c r="E32" s="57" t="s">
        <v>41</v>
      </c>
      <c r="F32" s="56" t="s">
        <v>61</v>
      </c>
      <c r="G32" s="56" t="s">
        <v>42</v>
      </c>
      <c r="H32" s="37" t="s">
        <v>59</v>
      </c>
      <c r="I32" s="38" t="s">
        <v>39</v>
      </c>
      <c r="J32" s="38" t="s">
        <v>62</v>
      </c>
      <c r="K32" s="38" t="s">
        <v>41</v>
      </c>
      <c r="L32" s="37" t="s">
        <v>61</v>
      </c>
      <c r="M32" s="37" t="s">
        <v>42</v>
      </c>
      <c r="N32" s="56" t="s">
        <v>59</v>
      </c>
      <c r="O32" s="57" t="s">
        <v>39</v>
      </c>
      <c r="P32" s="57" t="s">
        <v>62</v>
      </c>
      <c r="Q32" s="57" t="s">
        <v>41</v>
      </c>
      <c r="R32" s="56" t="s">
        <v>61</v>
      </c>
      <c r="S32" s="56" t="s">
        <v>42</v>
      </c>
    </row>
    <row r="33" spans="1:19" x14ac:dyDescent="0.25">
      <c r="A33" s="2" t="s">
        <v>2</v>
      </c>
      <c r="B33" s="19">
        <f>R19</f>
        <v>1170000</v>
      </c>
      <c r="C33" s="20"/>
      <c r="D33" s="21"/>
      <c r="E33" s="22">
        <f>(B33+D33*C33)/SUM(B$43:C$43)</f>
        <v>0.19710242587601079</v>
      </c>
      <c r="F33" s="19">
        <v>1175000</v>
      </c>
      <c r="G33" s="23">
        <f>(F33-B33-C33)/(B33+D33*C33)</f>
        <v>4.2735042735042739E-3</v>
      </c>
      <c r="H33" s="3">
        <f>F33</f>
        <v>1175000</v>
      </c>
      <c r="I33" s="4"/>
      <c r="J33" s="5"/>
      <c r="K33" s="6">
        <f>(H33+J33*I33)/SUM(H$43:I$43)</f>
        <v>0.19635695187165775</v>
      </c>
      <c r="L33" s="3">
        <v>1161000</v>
      </c>
      <c r="M33" s="25">
        <f>(L33-H33-I33)/(H33+J33*I33)</f>
        <v>-1.1914893617021277E-2</v>
      </c>
      <c r="N33" s="19">
        <f>L33</f>
        <v>1161000</v>
      </c>
      <c r="O33" s="20"/>
      <c r="P33" s="21"/>
      <c r="Q33" s="22">
        <f>(N33+P33*O33)/SUM(N$43:O$43)</f>
        <v>0.19260119442601195</v>
      </c>
      <c r="R33" s="19">
        <v>1163000</v>
      </c>
      <c r="S33" s="23">
        <f>(R33-N33-O33)/(N33+P33*O33)</f>
        <v>1.7226528854435831E-3</v>
      </c>
    </row>
    <row r="34" spans="1:19" hidden="1" x14ac:dyDescent="0.25">
      <c r="A34" s="2"/>
      <c r="B34" s="19"/>
      <c r="C34" s="20"/>
      <c r="D34" s="21"/>
      <c r="E34" s="22"/>
      <c r="F34" s="19"/>
      <c r="G34" s="32">
        <f>G33</f>
        <v>4.2735042735042739E-3</v>
      </c>
      <c r="H34" s="3"/>
      <c r="I34" s="4"/>
      <c r="J34" s="5"/>
      <c r="K34" s="6"/>
      <c r="L34" s="3"/>
      <c r="M34" s="32">
        <f>M33</f>
        <v>-1.1914893617021277E-2</v>
      </c>
      <c r="N34" s="19"/>
      <c r="O34" s="20"/>
      <c r="P34" s="21"/>
      <c r="Q34" s="22"/>
      <c r="R34" s="19"/>
      <c r="S34" s="32">
        <f>S33</f>
        <v>1.7226528854435831E-3</v>
      </c>
    </row>
    <row r="35" spans="1:19" x14ac:dyDescent="0.25">
      <c r="A35" s="2" t="s">
        <v>3</v>
      </c>
      <c r="B35" s="19">
        <f>R21</f>
        <v>1176000</v>
      </c>
      <c r="C35" s="20"/>
      <c r="D35" s="21"/>
      <c r="E35" s="22">
        <f>(B35+D35*C35)/SUM(B$43:C$43)</f>
        <v>0.19811320754716982</v>
      </c>
      <c r="F35" s="19">
        <v>1179000</v>
      </c>
      <c r="G35" s="23">
        <f>(F35-B35-C35)/(B35+D35*C35)</f>
        <v>2.5510204081632651E-3</v>
      </c>
      <c r="H35" s="3">
        <f t="shared" ref="H35" si="51">F35</f>
        <v>1179000</v>
      </c>
      <c r="I35" s="4"/>
      <c r="J35" s="5"/>
      <c r="K35" s="6">
        <f>(H35+J35*I35)/SUM(H$43:I$43)</f>
        <v>0.19702540106951871</v>
      </c>
      <c r="L35" s="3">
        <v>1176000</v>
      </c>
      <c r="M35" s="25">
        <f t="shared" ref="M35" si="52">(L35-H35-I35)/(H35+J35*I35)</f>
        <v>-2.5445292620865142E-3</v>
      </c>
      <c r="N35" s="19">
        <f t="shared" ref="N35" si="53">L35</f>
        <v>1176000</v>
      </c>
      <c r="O35" s="20"/>
      <c r="P35" s="21"/>
      <c r="Q35" s="22">
        <f>(N35+P35*O35)/SUM(N$43:O$43)</f>
        <v>0.19508958195089582</v>
      </c>
      <c r="R35" s="19">
        <v>1185000</v>
      </c>
      <c r="S35" s="23">
        <f>(R35-N35-O35)/(N35+P35*O35)</f>
        <v>7.6530612244897957E-3</v>
      </c>
    </row>
    <row r="36" spans="1:19" hidden="1" x14ac:dyDescent="0.25">
      <c r="A36" s="2"/>
      <c r="B36" s="19"/>
      <c r="C36" s="20"/>
      <c r="D36" s="21"/>
      <c r="E36" s="22"/>
      <c r="F36" s="19"/>
      <c r="G36" s="32">
        <f>G35</f>
        <v>2.5510204081632651E-3</v>
      </c>
      <c r="H36" s="3"/>
      <c r="I36" s="4"/>
      <c r="J36" s="5"/>
      <c r="K36" s="6"/>
      <c r="L36" s="3"/>
      <c r="M36" s="32">
        <f>M35</f>
        <v>-2.5445292620865142E-3</v>
      </c>
      <c r="N36" s="19"/>
      <c r="O36" s="20"/>
      <c r="P36" s="21"/>
      <c r="Q36" s="22"/>
      <c r="R36" s="19"/>
      <c r="S36" s="32">
        <f>S35</f>
        <v>7.6530612244897957E-3</v>
      </c>
    </row>
    <row r="37" spans="1:19" x14ac:dyDescent="0.25">
      <c r="A37" s="2" t="s">
        <v>1</v>
      </c>
      <c r="B37" s="19">
        <f>R23</f>
        <v>1240000</v>
      </c>
      <c r="C37" s="20"/>
      <c r="D37" s="20"/>
      <c r="E37" s="22">
        <f>(B37+D37*C37)/SUM(B$43:C$43)</f>
        <v>0.20889487870619947</v>
      </c>
      <c r="F37" s="19">
        <v>1250000</v>
      </c>
      <c r="G37" s="23">
        <f>(F37-B37-C37)/(B37+D37*C37)</f>
        <v>8.0645161290322578E-3</v>
      </c>
      <c r="H37" s="3">
        <f t="shared" ref="H37" si="54">F37</f>
        <v>1250000</v>
      </c>
      <c r="I37" s="4"/>
      <c r="J37" s="6"/>
      <c r="K37" s="6">
        <f>(H37+J37*I37)/SUM(H$43:I$43)</f>
        <v>0.2088903743315508</v>
      </c>
      <c r="L37" s="3">
        <v>1230000</v>
      </c>
      <c r="M37" s="25">
        <f t="shared" ref="M37" si="55">(L37-H37-I37)/(H37+J37*I37)</f>
        <v>-1.6E-2</v>
      </c>
      <c r="N37" s="19">
        <f t="shared" ref="N37" si="56">L37</f>
        <v>1230000</v>
      </c>
      <c r="O37" s="20"/>
      <c r="P37" s="20"/>
      <c r="Q37" s="22">
        <f>(N37+P37*O37)/SUM(N$43:O$43)</f>
        <v>0.20404777704047777</v>
      </c>
      <c r="R37" s="19">
        <v>1240000</v>
      </c>
      <c r="S37" s="23">
        <f>(R37-N37-O37)/(N37+P37*O37)</f>
        <v>8.130081300813009E-3</v>
      </c>
    </row>
    <row r="38" spans="1:19" hidden="1" x14ac:dyDescent="0.25">
      <c r="A38" s="2"/>
      <c r="B38" s="19"/>
      <c r="C38" s="20"/>
      <c r="D38" s="20"/>
      <c r="E38" s="22"/>
      <c r="F38" s="19"/>
      <c r="G38" s="32">
        <f>G37</f>
        <v>8.0645161290322578E-3</v>
      </c>
      <c r="H38" s="3"/>
      <c r="I38" s="4"/>
      <c r="J38" s="6"/>
      <c r="K38" s="6"/>
      <c r="L38" s="3"/>
      <c r="M38" s="32">
        <f>M37</f>
        <v>-1.6E-2</v>
      </c>
      <c r="N38" s="19"/>
      <c r="O38" s="20"/>
      <c r="P38" s="20"/>
      <c r="Q38" s="22"/>
      <c r="R38" s="19"/>
      <c r="S38" s="32">
        <f>S37</f>
        <v>8.130081300813009E-3</v>
      </c>
    </row>
    <row r="39" spans="1:19" x14ac:dyDescent="0.25">
      <c r="A39" s="2" t="s">
        <v>4</v>
      </c>
      <c r="B39" s="19">
        <f>R25</f>
        <v>1160000</v>
      </c>
      <c r="C39" s="20"/>
      <c r="D39" s="20"/>
      <c r="E39" s="22">
        <f>(B39+D39*C39)/SUM(B$43:C$43)</f>
        <v>0.19541778975741239</v>
      </c>
      <c r="F39" s="19">
        <v>1180000</v>
      </c>
      <c r="G39" s="23">
        <f>(F39-B39-C39)/(B39+D39*C39)</f>
        <v>1.7241379310344827E-2</v>
      </c>
      <c r="H39" s="3">
        <f t="shared" ref="H39" si="57">F39</f>
        <v>1180000</v>
      </c>
      <c r="I39" s="4"/>
      <c r="J39" s="4"/>
      <c r="K39" s="6">
        <f>(H39+J39*I39)/SUM(H$43:I$43)</f>
        <v>0.19719251336898397</v>
      </c>
      <c r="L39" s="3">
        <v>1227000</v>
      </c>
      <c r="M39" s="25">
        <f t="shared" ref="M39" si="58">(L39-H39-I39)/(H39+J39*I39)</f>
        <v>3.9830508474576268E-2</v>
      </c>
      <c r="N39" s="19">
        <f t="shared" ref="N39" si="59">L39</f>
        <v>1227000</v>
      </c>
      <c r="O39" s="20"/>
      <c r="P39" s="20"/>
      <c r="Q39" s="22">
        <f>(N39+P39*O39)/SUM(N$43:O$43)</f>
        <v>0.20355009953550099</v>
      </c>
      <c r="R39" s="19">
        <v>1240000</v>
      </c>
      <c r="S39" s="23">
        <f>(R39-N39-O39)/(N39+P39*O39)</f>
        <v>1.0594947025264874E-2</v>
      </c>
    </row>
    <row r="40" spans="1:19" hidden="1" x14ac:dyDescent="0.25">
      <c r="A40" s="2"/>
      <c r="B40" s="19"/>
      <c r="C40" s="20"/>
      <c r="D40" s="20"/>
      <c r="E40" s="22"/>
      <c r="F40" s="19"/>
      <c r="G40" s="32">
        <f>G39</f>
        <v>1.7241379310344827E-2</v>
      </c>
      <c r="H40" s="3"/>
      <c r="I40" s="4"/>
      <c r="J40" s="4"/>
      <c r="K40" s="6"/>
      <c r="L40" s="3"/>
      <c r="M40" s="32">
        <f>M39</f>
        <v>3.9830508474576268E-2</v>
      </c>
      <c r="N40" s="19"/>
      <c r="O40" s="20"/>
      <c r="P40" s="20"/>
      <c r="Q40" s="22"/>
      <c r="R40" s="19"/>
      <c r="S40" s="32">
        <f>S39</f>
        <v>1.0594947025264874E-2</v>
      </c>
    </row>
    <row r="41" spans="1:19" x14ac:dyDescent="0.25">
      <c r="A41" s="2" t="s">
        <v>5</v>
      </c>
      <c r="B41" s="19">
        <f>R27</f>
        <v>1190000</v>
      </c>
      <c r="C41" s="20"/>
      <c r="D41" s="20"/>
      <c r="E41" s="22">
        <f>(B41+D41*C41)/SUM(B$43:C$43)</f>
        <v>0.20047169811320756</v>
      </c>
      <c r="F41" s="19">
        <v>1200000</v>
      </c>
      <c r="G41" s="23">
        <f>(F41-B41-C41)/(B41+D41*C41)</f>
        <v>8.4033613445378148E-3</v>
      </c>
      <c r="H41" s="3">
        <f t="shared" ref="H41" si="60">F41</f>
        <v>1200000</v>
      </c>
      <c r="I41" s="4"/>
      <c r="J41" s="4"/>
      <c r="K41" s="6">
        <f>(H41+J41*I41)/SUM(H$43:I$43)</f>
        <v>0.20053475935828877</v>
      </c>
      <c r="L41" s="3">
        <v>1234000</v>
      </c>
      <c r="M41" s="25">
        <f t="shared" ref="M41" si="61">(L41-H41-I41)/(H41+J41*I41)</f>
        <v>2.8333333333333332E-2</v>
      </c>
      <c r="N41" s="19">
        <f t="shared" ref="N41" si="62">L41</f>
        <v>1234000</v>
      </c>
      <c r="O41" s="20"/>
      <c r="P41" s="20"/>
      <c r="Q41" s="22">
        <f>(N41+P41*O41)/SUM(N$43:O$43)</f>
        <v>0.20471134704711347</v>
      </c>
      <c r="R41" s="19">
        <v>1239000</v>
      </c>
      <c r="S41" s="23">
        <f>(R41-N41-O41)/(N41+P41*O41)</f>
        <v>4.0518638573743921E-3</v>
      </c>
    </row>
    <row r="42" spans="1:19" hidden="1" x14ac:dyDescent="0.25">
      <c r="A42" s="2"/>
      <c r="B42" s="19"/>
      <c r="C42" s="20"/>
      <c r="D42" s="20"/>
      <c r="E42" s="22"/>
      <c r="F42" s="19"/>
      <c r="G42" s="32">
        <f>G41</f>
        <v>8.4033613445378148E-3</v>
      </c>
      <c r="H42" s="3"/>
      <c r="I42" s="4"/>
      <c r="J42" s="4"/>
      <c r="K42" s="6"/>
      <c r="L42" s="3"/>
      <c r="M42" s="32">
        <f>M41</f>
        <v>2.8333333333333332E-2</v>
      </c>
      <c r="N42" s="19"/>
      <c r="O42" s="20"/>
      <c r="P42" s="20"/>
      <c r="Q42" s="22"/>
      <c r="R42" s="19"/>
      <c r="S42" s="32">
        <f>S41</f>
        <v>4.0518638573743921E-3</v>
      </c>
    </row>
    <row r="43" spans="1:19" x14ac:dyDescent="0.25">
      <c r="A43" s="2" t="s">
        <v>60</v>
      </c>
      <c r="B43" s="19">
        <f>SUM(B33:B41)</f>
        <v>5936000</v>
      </c>
      <c r="C43" s="19">
        <f>C33*D33+C35*D35</f>
        <v>0</v>
      </c>
      <c r="D43" s="19"/>
      <c r="E43" s="24">
        <f>SUM(E33:E41)</f>
        <v>1</v>
      </c>
      <c r="F43" s="19">
        <f>SUM(F33:F41)</f>
        <v>5984000</v>
      </c>
      <c r="G43" s="23">
        <f>SUMPRODUCT(E33:E41,G33:G41)</f>
        <v>8.0862533692722376E-3</v>
      </c>
      <c r="H43" s="3">
        <f>SUM(H33:H41)</f>
        <v>5984000</v>
      </c>
      <c r="I43" s="3">
        <f>I33*J33+I35*J35</f>
        <v>0</v>
      </c>
      <c r="J43" s="3"/>
      <c r="K43" s="7">
        <f>SUM(K33:K41)</f>
        <v>1</v>
      </c>
      <c r="L43" s="3">
        <f>SUM(L33:L41)</f>
        <v>6028000</v>
      </c>
      <c r="M43" s="9">
        <f>SUMPRODUCT(K33:K41,M33:M41)</f>
        <v>7.3529411764705873E-3</v>
      </c>
      <c r="N43" s="19">
        <f>SUM(N33:N41)</f>
        <v>6028000</v>
      </c>
      <c r="O43" s="19">
        <f>O33*P33+O35*P35</f>
        <v>0</v>
      </c>
      <c r="P43" s="19"/>
      <c r="Q43" s="24">
        <f>SUM(Q33:Q41)</f>
        <v>1</v>
      </c>
      <c r="R43" s="19">
        <f>SUM(R33:R41)</f>
        <v>6067000</v>
      </c>
      <c r="S43" s="23">
        <f>SUMPRODUCT(Q33:Q41,S33:S41)</f>
        <v>6.4698075646980758E-3</v>
      </c>
    </row>
    <row r="44" spans="1:19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1:19" x14ac:dyDescent="0.25">
      <c r="B45" s="73" t="s">
        <v>52</v>
      </c>
      <c r="C45" s="73"/>
      <c r="D45" s="73"/>
      <c r="E45" s="73"/>
      <c r="F45" s="73"/>
      <c r="G45" s="73"/>
      <c r="H45" s="72" t="s">
        <v>53</v>
      </c>
      <c r="I45" s="72"/>
      <c r="J45" s="72"/>
      <c r="K45" s="72"/>
      <c r="L45" s="72"/>
      <c r="M45" s="72"/>
      <c r="N45" s="73" t="s">
        <v>54</v>
      </c>
      <c r="O45" s="73"/>
      <c r="P45" s="73"/>
      <c r="Q45" s="73"/>
      <c r="R45" s="73"/>
      <c r="S45" s="73"/>
    </row>
    <row r="46" spans="1:19" ht="45" x14ac:dyDescent="0.25">
      <c r="A46" s="14" t="s">
        <v>0</v>
      </c>
      <c r="B46" s="37" t="s">
        <v>59</v>
      </c>
      <c r="C46" s="38" t="s">
        <v>39</v>
      </c>
      <c r="D46" s="38" t="s">
        <v>62</v>
      </c>
      <c r="E46" s="38" t="s">
        <v>41</v>
      </c>
      <c r="F46" s="37" t="s">
        <v>61</v>
      </c>
      <c r="G46" s="37" t="s">
        <v>42</v>
      </c>
      <c r="H46" s="56" t="s">
        <v>59</v>
      </c>
      <c r="I46" s="57" t="s">
        <v>39</v>
      </c>
      <c r="J46" s="57" t="s">
        <v>40</v>
      </c>
      <c r="K46" s="57" t="s">
        <v>41</v>
      </c>
      <c r="L46" s="56" t="s">
        <v>61</v>
      </c>
      <c r="M46" s="56" t="s">
        <v>42</v>
      </c>
      <c r="N46" s="37" t="s">
        <v>59</v>
      </c>
      <c r="O46" s="38" t="s">
        <v>39</v>
      </c>
      <c r="P46" s="38" t="s">
        <v>40</v>
      </c>
      <c r="Q46" s="38" t="s">
        <v>41</v>
      </c>
      <c r="R46" s="37" t="s">
        <v>61</v>
      </c>
      <c r="S46" s="37" t="s">
        <v>42</v>
      </c>
    </row>
    <row r="47" spans="1:19" x14ac:dyDescent="0.25">
      <c r="A47" s="2" t="s">
        <v>2</v>
      </c>
      <c r="B47" s="3">
        <f>N33</f>
        <v>1161000</v>
      </c>
      <c r="C47" s="4"/>
      <c r="D47" s="5"/>
      <c r="E47" s="6">
        <f>(B47+D47*C47)/SUM(B$57:C$57)</f>
        <v>0.19226166946228057</v>
      </c>
      <c r="F47" s="3">
        <v>1165000</v>
      </c>
      <c r="G47" s="25">
        <f>(F47-B47-C47)/(B47+D47*C47)</f>
        <v>3.4453057708871662E-3</v>
      </c>
      <c r="H47" s="19">
        <f>F47</f>
        <v>1165000</v>
      </c>
      <c r="I47" s="20"/>
      <c r="J47" s="21"/>
      <c r="K47" s="22">
        <f>(H47+J47*I47)/SUM(H$57:I$57)</f>
        <v>0.18907222071950228</v>
      </c>
      <c r="L47" s="19">
        <v>1170000</v>
      </c>
      <c r="M47" s="23">
        <f>(L47-H47-I47)/(H47+J47*I47)</f>
        <v>4.2918454935622317E-3</v>
      </c>
      <c r="N47" s="3">
        <f>L47</f>
        <v>1170000</v>
      </c>
      <c r="O47" s="4"/>
      <c r="P47" s="5"/>
      <c r="Q47" s="6">
        <f>(N47+P47*O47)/SUM(N$57:O$57)</f>
        <v>0.18780096308186195</v>
      </c>
      <c r="R47" s="3">
        <v>1180000</v>
      </c>
      <c r="S47" s="25">
        <f>(R47-N47-O47)/(N47+P47*O47)</f>
        <v>8.5470085470085479E-3</v>
      </c>
    </row>
    <row r="48" spans="1:19" hidden="1" x14ac:dyDescent="0.25">
      <c r="A48" s="2"/>
      <c r="B48" s="3"/>
      <c r="C48" s="4"/>
      <c r="D48" s="5"/>
      <c r="E48" s="6"/>
      <c r="F48" s="3"/>
      <c r="G48" s="32">
        <f>G47</f>
        <v>3.4453057708871662E-3</v>
      </c>
      <c r="H48" s="19"/>
      <c r="I48" s="20"/>
      <c r="J48" s="21"/>
      <c r="K48" s="22"/>
      <c r="L48" s="19"/>
      <c r="M48" s="32">
        <f>M47</f>
        <v>4.2918454935622317E-3</v>
      </c>
      <c r="N48" s="3"/>
      <c r="O48" s="4"/>
      <c r="P48" s="5"/>
      <c r="Q48" s="6"/>
      <c r="R48" s="3"/>
      <c r="S48" s="32">
        <f>S47</f>
        <v>8.5470085470085479E-3</v>
      </c>
    </row>
    <row r="49" spans="1:19" x14ac:dyDescent="0.25">
      <c r="A49" s="2" t="s">
        <v>3</v>
      </c>
      <c r="B49" s="3">
        <f>N35</f>
        <v>1176000</v>
      </c>
      <c r="C49" s="4"/>
      <c r="D49" s="5"/>
      <c r="E49" s="6">
        <f>(B49+D49*C49)/SUM(B$57:C$57)</f>
        <v>0.19474567035972606</v>
      </c>
      <c r="F49" s="3">
        <v>1190000</v>
      </c>
      <c r="G49" s="25">
        <f t="shared" ref="G49" si="63">(F49-B49-C49)/(B49+D49*C49)</f>
        <v>1.1904761904761904E-2</v>
      </c>
      <c r="H49" s="19">
        <f t="shared" ref="H49" si="64">F49</f>
        <v>1190000</v>
      </c>
      <c r="I49" s="20"/>
      <c r="J49" s="21"/>
      <c r="K49" s="22">
        <f>(H49+J49*I49)/SUM(H$57:I$57)</f>
        <v>0.1931295645117663</v>
      </c>
      <c r="L49" s="19">
        <v>1195000</v>
      </c>
      <c r="M49" s="23">
        <f>(L49-H49-I49)/(H49+J49*I49)</f>
        <v>4.2016806722689074E-3</v>
      </c>
      <c r="N49" s="3">
        <f t="shared" ref="N49" si="65">L49</f>
        <v>1195000</v>
      </c>
      <c r="O49" s="4"/>
      <c r="P49" s="5"/>
      <c r="Q49" s="6">
        <f>(N49+P49*O49)/SUM(N$57:O$57)</f>
        <v>0.19181380417335472</v>
      </c>
      <c r="R49" s="3">
        <v>1197000</v>
      </c>
      <c r="S49" s="25">
        <f t="shared" ref="S49" si="66">(R49-N49-O49)/(N49+P49*O49)</f>
        <v>1.6736401673640166E-3</v>
      </c>
    </row>
    <row r="50" spans="1:19" hidden="1" x14ac:dyDescent="0.25">
      <c r="A50" s="2"/>
      <c r="B50" s="3"/>
      <c r="C50" s="4"/>
      <c r="D50" s="5"/>
      <c r="E50" s="6"/>
      <c r="F50" s="3"/>
      <c r="G50" s="32">
        <f>G49</f>
        <v>1.1904761904761904E-2</v>
      </c>
      <c r="H50" s="19"/>
      <c r="I50" s="20"/>
      <c r="J50" s="21"/>
      <c r="K50" s="22"/>
      <c r="L50" s="19"/>
      <c r="M50" s="32">
        <f>M49</f>
        <v>4.2016806722689074E-3</v>
      </c>
      <c r="N50" s="3"/>
      <c r="O50" s="4"/>
      <c r="P50" s="5"/>
      <c r="Q50" s="6"/>
      <c r="R50" s="3"/>
      <c r="S50" s="32">
        <f>S49</f>
        <v>1.6736401673640166E-3</v>
      </c>
    </row>
    <row r="51" spans="1:19" x14ac:dyDescent="0.25">
      <c r="A51" s="2" t="s">
        <v>1</v>
      </c>
      <c r="B51" s="3">
        <f>N37</f>
        <v>1230000</v>
      </c>
      <c r="C51" s="4"/>
      <c r="D51" s="6"/>
      <c r="E51" s="6">
        <f>(B51+D51*C51)/SUM(B$57:C$57)</f>
        <v>0.20368807359052982</v>
      </c>
      <c r="F51" s="3">
        <v>1250000</v>
      </c>
      <c r="G51" s="25">
        <f t="shared" ref="G51" si="67">(F51-B51-C51)/(B51+D51*C51)</f>
        <v>1.6260162601626018E-2</v>
      </c>
      <c r="H51" s="19">
        <f t="shared" ref="H51" si="68">F51</f>
        <v>1250000</v>
      </c>
      <c r="I51" s="20"/>
      <c r="J51" s="20"/>
      <c r="K51" s="22">
        <f>(H51+J51*I51)/SUM(H$57:I$57)</f>
        <v>0.20286718961319988</v>
      </c>
      <c r="L51" s="19">
        <v>1260000</v>
      </c>
      <c r="M51" s="23">
        <f>(L51-H51-I51)/(H51+J51*I51)</f>
        <v>8.0000000000000002E-3</v>
      </c>
      <c r="N51" s="3">
        <f t="shared" ref="N51" si="69">L51</f>
        <v>1260000</v>
      </c>
      <c r="O51" s="4"/>
      <c r="P51" s="6"/>
      <c r="Q51" s="6">
        <f>(N51+P51*O51)/SUM(N$57:O$57)</f>
        <v>0.20224719101123595</v>
      </c>
      <c r="R51" s="3">
        <v>1261000</v>
      </c>
      <c r="S51" s="25">
        <f t="shared" ref="S51" si="70">(R51-N51-O51)/(N51+P51*O51)</f>
        <v>7.9365079365079365E-4</v>
      </c>
    </row>
    <row r="52" spans="1:19" hidden="1" x14ac:dyDescent="0.25">
      <c r="A52" s="2"/>
      <c r="B52" s="3"/>
      <c r="C52" s="4"/>
      <c r="D52" s="6"/>
      <c r="E52" s="6"/>
      <c r="F52" s="3"/>
      <c r="G52" s="32">
        <f>G51</f>
        <v>1.6260162601626018E-2</v>
      </c>
      <c r="H52" s="19"/>
      <c r="I52" s="20"/>
      <c r="J52" s="20"/>
      <c r="K52" s="22"/>
      <c r="L52" s="19"/>
      <c r="M52" s="32">
        <f>M51</f>
        <v>8.0000000000000002E-3</v>
      </c>
      <c r="N52" s="3"/>
      <c r="O52" s="4"/>
      <c r="P52" s="6"/>
      <c r="Q52" s="6"/>
      <c r="R52" s="3"/>
      <c r="S52" s="32">
        <f>S51</f>
        <v>7.9365079365079365E-4</v>
      </c>
    </row>
    <row r="53" spans="1:19" x14ac:dyDescent="0.25">
      <c r="A53" s="2" t="s">
        <v>4</v>
      </c>
      <c r="B53" s="3">
        <f>N39</f>
        <v>1227000</v>
      </c>
      <c r="C53" s="4">
        <v>15000</v>
      </c>
      <c r="D53" s="58">
        <f>(31-10+1)/31</f>
        <v>0.70967741935483875</v>
      </c>
      <c r="E53" s="6">
        <f>(B53+D53*C53)/SUM(B$57:C$57)</f>
        <v>0.20495411275761494</v>
      </c>
      <c r="F53" s="3">
        <v>1260000</v>
      </c>
      <c r="G53" s="25">
        <f t="shared" ref="G53" si="71">(F53-B53-C53)/(B53+D53*C53)</f>
        <v>1.4543748533896316E-2</v>
      </c>
      <c r="H53" s="19">
        <f t="shared" ref="H53" si="72">F53</f>
        <v>1260000</v>
      </c>
      <c r="I53" s="20"/>
      <c r="J53" s="20"/>
      <c r="K53" s="22">
        <f>(H53+J53*I53)/SUM(H$57:I$57)</f>
        <v>0.20449012713010548</v>
      </c>
      <c r="L53" s="19">
        <v>1275000</v>
      </c>
      <c r="M53" s="23">
        <f>(L53-H53-I53)/(H53+J53*I53)</f>
        <v>1.1904761904761904E-2</v>
      </c>
      <c r="N53" s="3">
        <f t="shared" ref="N53" si="73">L53</f>
        <v>1275000</v>
      </c>
      <c r="O53" s="4"/>
      <c r="P53" s="6"/>
      <c r="Q53" s="6">
        <f>(N53+P53*O53)/SUM(N$57:O$57)</f>
        <v>0.20465489566613163</v>
      </c>
      <c r="R53" s="3">
        <v>1276000</v>
      </c>
      <c r="S53" s="25">
        <f t="shared" ref="S53" si="74">(R53-N53-O53)/(N53+P53*O53)</f>
        <v>7.8431372549019605E-4</v>
      </c>
    </row>
    <row r="54" spans="1:19" hidden="1" x14ac:dyDescent="0.25">
      <c r="A54" s="2"/>
      <c r="B54" s="3"/>
      <c r="C54" s="4"/>
      <c r="D54" s="6"/>
      <c r="E54" s="6"/>
      <c r="F54" s="3"/>
      <c r="G54" s="32">
        <f>G53</f>
        <v>1.4543748533896316E-2</v>
      </c>
      <c r="H54" s="19"/>
      <c r="I54" s="20"/>
      <c r="J54" s="20"/>
      <c r="K54" s="22"/>
      <c r="L54" s="19"/>
      <c r="M54" s="32">
        <f>M53</f>
        <v>1.1904761904761904E-2</v>
      </c>
      <c r="N54" s="3"/>
      <c r="O54" s="4"/>
      <c r="P54" s="6"/>
      <c r="Q54" s="6"/>
      <c r="R54" s="3"/>
      <c r="S54" s="32">
        <f>S53</f>
        <v>7.8431372549019605E-4</v>
      </c>
    </row>
    <row r="55" spans="1:19" x14ac:dyDescent="0.25">
      <c r="A55" s="2" t="s">
        <v>5</v>
      </c>
      <c r="B55" s="3">
        <f>N41</f>
        <v>1234000</v>
      </c>
      <c r="C55" s="4"/>
      <c r="D55" s="4"/>
      <c r="E55" s="6">
        <f>(B55+D55*C55)/SUM(B$57:C$57)</f>
        <v>0.20435047382984861</v>
      </c>
      <c r="F55" s="3">
        <v>1250000</v>
      </c>
      <c r="G55" s="25">
        <f t="shared" ref="G55" si="75">(F55-B55-C55)/(B55+D55*C55)</f>
        <v>1.2965964343598054E-2</v>
      </c>
      <c r="H55" s="19">
        <f t="shared" ref="H55" si="76">F55</f>
        <v>1250000</v>
      </c>
      <c r="I55" s="20">
        <v>70000</v>
      </c>
      <c r="J55" s="29">
        <f>(30-11+1)/30</f>
        <v>0.66666666666666663</v>
      </c>
      <c r="K55" s="22">
        <f>(H55+J55*I55)/SUM(H$57:I$57)</f>
        <v>0.21044089802542601</v>
      </c>
      <c r="L55" s="19">
        <v>1330000</v>
      </c>
      <c r="M55" s="23">
        <f>(L55-H55-I55)/(H55+J55*I55)</f>
        <v>7.7120822622107968E-3</v>
      </c>
      <c r="N55" s="3">
        <f t="shared" ref="N55" si="77">L55</f>
        <v>1330000</v>
      </c>
      <c r="O55" s="4"/>
      <c r="P55" s="4"/>
      <c r="Q55" s="6">
        <f>(N55+P55*O55)/SUM(N$57:O$57)</f>
        <v>0.21348314606741572</v>
      </c>
      <c r="R55" s="3">
        <v>1331000</v>
      </c>
      <c r="S55" s="25">
        <f t="shared" ref="S55" si="78">(R55-N55-O55)/(N55+P55*O55)</f>
        <v>7.5187969924812035E-4</v>
      </c>
    </row>
    <row r="56" spans="1:19" hidden="1" x14ac:dyDescent="0.25">
      <c r="A56" s="2"/>
      <c r="B56" s="3"/>
      <c r="C56" s="4"/>
      <c r="D56" s="4"/>
      <c r="E56" s="6"/>
      <c r="F56" s="3"/>
      <c r="G56" s="32">
        <f>G55</f>
        <v>1.2965964343598054E-2</v>
      </c>
      <c r="H56" s="19"/>
      <c r="I56" s="20"/>
      <c r="J56" s="29"/>
      <c r="K56" s="22"/>
      <c r="L56" s="19"/>
      <c r="M56" s="32">
        <f>M55</f>
        <v>7.7120822622107968E-3</v>
      </c>
      <c r="N56" s="3"/>
      <c r="O56" s="4"/>
      <c r="P56" s="4"/>
      <c r="Q56" s="6"/>
      <c r="R56" s="3"/>
      <c r="S56" s="32">
        <f>S55</f>
        <v>7.5187969924812035E-4</v>
      </c>
    </row>
    <row r="57" spans="1:19" x14ac:dyDescent="0.25">
      <c r="A57" s="2" t="s">
        <v>60</v>
      </c>
      <c r="B57" s="3">
        <f>SUM(B47:B55)</f>
        <v>6028000</v>
      </c>
      <c r="C57" s="3">
        <f>PRODUCT(C53:D53)</f>
        <v>10645.161290322581</v>
      </c>
      <c r="D57" s="3"/>
      <c r="E57" s="7">
        <f>SUM(E47:E55)</f>
        <v>0.99999999999999989</v>
      </c>
      <c r="F57" s="3">
        <f>SUM(F47:F55)</f>
        <v>6115000</v>
      </c>
      <c r="G57" s="9">
        <f>SUMPRODUCT(E47:E55,G47:G55)</f>
        <v>1.1923204307738331E-2</v>
      </c>
      <c r="H57" s="19">
        <f>SUM(H47:H55)</f>
        <v>6115000</v>
      </c>
      <c r="I57" s="19">
        <f>PRODUCT(I55:J55)</f>
        <v>46666.666666666664</v>
      </c>
      <c r="J57" s="19"/>
      <c r="K57" s="24">
        <f>SUM(K47:K55)</f>
        <v>0.99999999999999989</v>
      </c>
      <c r="L57" s="19">
        <f>SUM(L47:L55)</f>
        <v>6230000</v>
      </c>
      <c r="M57" s="23">
        <f>SUMPRODUCT(K47:K55,M47:M55)</f>
        <v>7.3032188260751954E-3</v>
      </c>
      <c r="N57" s="3">
        <f>SUM(N47:N55)</f>
        <v>6230000</v>
      </c>
      <c r="O57" s="3">
        <f>O47*P47+O49*P49</f>
        <v>0</v>
      </c>
      <c r="P57" s="3"/>
      <c r="Q57" s="7">
        <f>SUM(Q47:Q55)</f>
        <v>0.99999999999999989</v>
      </c>
      <c r="R57" s="3">
        <f>SUM(R47:R55)</f>
        <v>6245000</v>
      </c>
      <c r="S57" s="9">
        <f>SUMPRODUCT(Q47:Q55,S47:S55)</f>
        <v>2.4077046548956664E-3</v>
      </c>
    </row>
  </sheetData>
  <mergeCells count="24">
    <mergeCell ref="B45:G45"/>
    <mergeCell ref="H45:M45"/>
    <mergeCell ref="N45:S45"/>
    <mergeCell ref="A16:S16"/>
    <mergeCell ref="A30:S30"/>
    <mergeCell ref="A44:S44"/>
    <mergeCell ref="B17:G17"/>
    <mergeCell ref="H17:M17"/>
    <mergeCell ref="N17:S17"/>
    <mergeCell ref="B31:G31"/>
    <mergeCell ref="H31:M31"/>
    <mergeCell ref="N31:S31"/>
    <mergeCell ref="BP2:BU2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J2:BO2"/>
  </mergeCells>
  <pageMargins left="0.7" right="0.7" top="0.75" bottom="0.75" header="0.3" footer="0.3"/>
  <ignoredErrors>
    <ignoredError sqref="G13:BU13 G7:V7 X6:BU12 G48:S56 G34:S43 G29 G20:N20 H29:N29 S20:S29 G28:N28 G21:J27 L21:N27 G57:H57 J57:S57 G14:H14 L14:BU14 G6:J6 L6:V6 G9:V9 G8:J8 L8:V8 G11:V11 G10:J10 L10:V10 G12:J12 L12:V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A1E7-E759-4AFC-8905-0369DC82E0E7}">
  <dimension ref="A1:BX35"/>
  <sheetViews>
    <sheetView zoomScale="205" zoomScaleNormal="205" workbookViewId="0">
      <selection activeCell="I20" sqref="I20"/>
    </sheetView>
  </sheetViews>
  <sheetFormatPr defaultRowHeight="15" x14ac:dyDescent="0.25"/>
  <cols>
    <col min="1" max="1" width="10.42578125" customWidth="1"/>
    <col min="2" max="2" width="10.5703125" bestFit="1" customWidth="1"/>
    <col min="3" max="3" width="9" bestFit="1" customWidth="1"/>
    <col min="4" max="4" width="6" customWidth="1"/>
    <col min="6" max="6" width="10.5703125" bestFit="1" customWidth="1"/>
    <col min="7" max="7" width="7.85546875" customWidth="1"/>
    <col min="8" max="8" width="10.5703125" bestFit="1" customWidth="1"/>
    <col min="9" max="9" width="9.140625" customWidth="1"/>
    <col min="10" max="10" width="6.85546875" customWidth="1"/>
    <col min="11" max="11" width="9.140625" customWidth="1"/>
    <col min="12" max="12" width="10.5703125" bestFit="1" customWidth="1"/>
    <col min="13" max="13" width="9.140625" customWidth="1"/>
    <col min="14" max="14" width="10.5703125" bestFit="1" customWidth="1"/>
    <col min="15" max="15" width="6" customWidth="1"/>
    <col min="16" max="16" width="9.140625" hidden="1" customWidth="1"/>
    <col min="17" max="17" width="9.140625" customWidth="1"/>
    <col min="18" max="18" width="10.5703125" bestFit="1" customWidth="1"/>
    <col min="19" max="19" width="9.140625" customWidth="1"/>
    <col min="20" max="20" width="10.5703125" customWidth="1"/>
    <col min="21" max="21" width="8" customWidth="1"/>
    <col min="22" max="22" width="7.42578125" customWidth="1"/>
    <col min="23" max="23" width="9.140625" customWidth="1"/>
    <col min="24" max="24" width="10.5703125" customWidth="1"/>
    <col min="25" max="25" width="7" customWidth="1"/>
    <col min="26" max="26" width="10.5703125" customWidth="1"/>
    <col min="27" max="29" width="9.140625" customWidth="1"/>
    <col min="30" max="30" width="10.5703125" customWidth="1"/>
    <col min="31" max="31" width="9.140625" customWidth="1"/>
    <col min="32" max="32" width="10.5703125" customWidth="1"/>
    <col min="33" max="35" width="9.140625" customWidth="1"/>
    <col min="36" max="36" width="10.5703125" customWidth="1"/>
    <col min="37" max="37" width="9.140625" customWidth="1"/>
    <col min="38" max="38" width="10.5703125" customWidth="1"/>
    <col min="39" max="41" width="9.140625" customWidth="1"/>
    <col min="42" max="42" width="10.5703125" customWidth="1"/>
    <col min="43" max="43" width="9.140625" customWidth="1"/>
    <col min="44" max="44" width="10.5703125" customWidth="1"/>
    <col min="45" max="47" width="9.140625" customWidth="1"/>
    <col min="48" max="48" width="10.5703125" customWidth="1"/>
    <col min="49" max="49" width="9.140625" customWidth="1"/>
    <col min="50" max="50" width="10.5703125" customWidth="1"/>
    <col min="51" max="53" width="9.140625" customWidth="1"/>
    <col min="54" max="54" width="10.5703125" customWidth="1"/>
    <col min="55" max="55" width="9.140625" customWidth="1"/>
    <col min="56" max="56" width="10.5703125" customWidth="1"/>
    <col min="57" max="59" width="9.140625" customWidth="1"/>
    <col min="60" max="60" width="10.5703125" customWidth="1"/>
    <col min="61" max="61" width="9.140625" customWidth="1"/>
    <col min="62" max="62" width="10.5703125" customWidth="1"/>
    <col min="63" max="65" width="9.140625" customWidth="1"/>
    <col min="66" max="66" width="10.5703125" customWidth="1"/>
    <col min="67" max="67" width="9.140625" customWidth="1"/>
    <col min="68" max="68" width="10.5703125" customWidth="1"/>
    <col min="69" max="71" width="9.140625" customWidth="1"/>
    <col min="72" max="72" width="10.5703125" customWidth="1"/>
    <col min="73" max="73" width="9.140625" customWidth="1"/>
    <col min="75" max="75" width="10.5703125" bestFit="1" customWidth="1"/>
  </cols>
  <sheetData>
    <row r="1" spans="1:76" x14ac:dyDescent="0.25">
      <c r="A1" s="8">
        <v>44927</v>
      </c>
    </row>
    <row r="2" spans="1:76" x14ac:dyDescent="0.25">
      <c r="A2" s="2"/>
      <c r="B2" s="72" t="s">
        <v>37</v>
      </c>
      <c r="C2" s="72"/>
      <c r="D2" s="72"/>
      <c r="E2" s="72"/>
      <c r="F2" s="72"/>
      <c r="G2" s="72"/>
      <c r="H2" s="73" t="s">
        <v>43</v>
      </c>
      <c r="I2" s="73"/>
      <c r="J2" s="73"/>
      <c r="K2" s="73"/>
      <c r="L2" s="73"/>
      <c r="M2" s="73"/>
      <c r="N2" s="72" t="s">
        <v>44</v>
      </c>
      <c r="O2" s="72"/>
      <c r="P2" s="72"/>
      <c r="Q2" s="72"/>
      <c r="R2" s="72"/>
      <c r="S2" s="72"/>
      <c r="T2" s="71" t="s">
        <v>46</v>
      </c>
      <c r="U2" s="71"/>
      <c r="V2" s="71"/>
      <c r="W2" s="71"/>
      <c r="X2" s="71"/>
      <c r="Y2" s="71"/>
      <c r="Z2" s="74" t="s">
        <v>48</v>
      </c>
      <c r="AA2" s="74"/>
      <c r="AB2" s="74"/>
      <c r="AC2" s="74"/>
      <c r="AD2" s="74"/>
      <c r="AE2" s="74"/>
      <c r="AF2" s="71" t="s">
        <v>47</v>
      </c>
      <c r="AG2" s="71"/>
      <c r="AH2" s="71"/>
      <c r="AI2" s="71"/>
      <c r="AJ2" s="71"/>
      <c r="AK2" s="71"/>
      <c r="AL2" s="74" t="s">
        <v>49</v>
      </c>
      <c r="AM2" s="74"/>
      <c r="AN2" s="74"/>
      <c r="AO2" s="74"/>
      <c r="AP2" s="74"/>
      <c r="AQ2" s="74"/>
      <c r="AR2" s="71" t="s">
        <v>50</v>
      </c>
      <c r="AS2" s="71"/>
      <c r="AT2" s="71"/>
      <c r="AU2" s="71"/>
      <c r="AV2" s="71"/>
      <c r="AW2" s="71"/>
      <c r="AX2" s="74" t="s">
        <v>51</v>
      </c>
      <c r="AY2" s="74"/>
      <c r="AZ2" s="74"/>
      <c r="BA2" s="74"/>
      <c r="BB2" s="74"/>
      <c r="BC2" s="74"/>
      <c r="BD2" s="71" t="s">
        <v>52</v>
      </c>
      <c r="BE2" s="71"/>
      <c r="BF2" s="71"/>
      <c r="BG2" s="71"/>
      <c r="BH2" s="71"/>
      <c r="BI2" s="71"/>
      <c r="BJ2" s="74" t="s">
        <v>53</v>
      </c>
      <c r="BK2" s="74"/>
      <c r="BL2" s="74"/>
      <c r="BM2" s="74"/>
      <c r="BN2" s="74"/>
      <c r="BO2" s="74"/>
      <c r="BP2" s="71" t="s">
        <v>54</v>
      </c>
      <c r="BQ2" s="71"/>
      <c r="BR2" s="71"/>
      <c r="BS2" s="71"/>
      <c r="BT2" s="71"/>
      <c r="BU2" s="71"/>
    </row>
    <row r="3" spans="1:76" ht="30" x14ac:dyDescent="0.25">
      <c r="A3" s="14" t="s">
        <v>0</v>
      </c>
      <c r="B3" s="56" t="s">
        <v>59</v>
      </c>
      <c r="C3" s="57" t="s">
        <v>39</v>
      </c>
      <c r="D3" s="57" t="s">
        <v>62</v>
      </c>
      <c r="E3" s="57" t="s">
        <v>41</v>
      </c>
      <c r="F3" s="56" t="s">
        <v>61</v>
      </c>
      <c r="G3" s="56" t="s">
        <v>42</v>
      </c>
      <c r="H3" s="37" t="s">
        <v>59</v>
      </c>
      <c r="I3" s="38" t="s">
        <v>39</v>
      </c>
      <c r="J3" s="38" t="s">
        <v>62</v>
      </c>
      <c r="K3" s="38" t="s">
        <v>41</v>
      </c>
      <c r="L3" s="37" t="s">
        <v>61</v>
      </c>
      <c r="M3" s="37" t="s">
        <v>42</v>
      </c>
      <c r="N3" s="56" t="s">
        <v>59</v>
      </c>
      <c r="O3" s="57" t="s">
        <v>39</v>
      </c>
      <c r="P3" s="57" t="s">
        <v>62</v>
      </c>
      <c r="Q3" s="57" t="s">
        <v>41</v>
      </c>
      <c r="R3" s="56" t="s">
        <v>61</v>
      </c>
      <c r="S3" s="56" t="s">
        <v>42</v>
      </c>
      <c r="T3" s="15" t="s">
        <v>38</v>
      </c>
      <c r="U3" s="16" t="s">
        <v>39</v>
      </c>
      <c r="V3" s="16" t="s">
        <v>40</v>
      </c>
      <c r="W3" s="16" t="s">
        <v>41</v>
      </c>
      <c r="X3" s="15" t="s">
        <v>45</v>
      </c>
      <c r="Y3" s="15" t="s">
        <v>42</v>
      </c>
      <c r="Z3" s="17" t="s">
        <v>38</v>
      </c>
      <c r="AA3" s="18" t="s">
        <v>39</v>
      </c>
      <c r="AB3" s="18" t="s">
        <v>40</v>
      </c>
      <c r="AC3" s="18" t="s">
        <v>41</v>
      </c>
      <c r="AD3" s="17" t="s">
        <v>45</v>
      </c>
      <c r="AE3" s="17" t="s">
        <v>42</v>
      </c>
      <c r="AF3" s="15" t="s">
        <v>38</v>
      </c>
      <c r="AG3" s="16" t="s">
        <v>39</v>
      </c>
      <c r="AH3" s="16" t="s">
        <v>40</v>
      </c>
      <c r="AI3" s="16" t="s">
        <v>41</v>
      </c>
      <c r="AJ3" s="15" t="s">
        <v>45</v>
      </c>
      <c r="AK3" s="15" t="s">
        <v>42</v>
      </c>
      <c r="AL3" s="17" t="s">
        <v>38</v>
      </c>
      <c r="AM3" s="18" t="s">
        <v>39</v>
      </c>
      <c r="AN3" s="18" t="s">
        <v>40</v>
      </c>
      <c r="AO3" s="18" t="s">
        <v>41</v>
      </c>
      <c r="AP3" s="17" t="s">
        <v>45</v>
      </c>
      <c r="AQ3" s="17" t="s">
        <v>42</v>
      </c>
      <c r="AR3" s="15" t="s">
        <v>38</v>
      </c>
      <c r="AS3" s="16" t="s">
        <v>39</v>
      </c>
      <c r="AT3" s="16" t="s">
        <v>40</v>
      </c>
      <c r="AU3" s="16" t="s">
        <v>41</v>
      </c>
      <c r="AV3" s="15" t="s">
        <v>45</v>
      </c>
      <c r="AW3" s="15" t="s">
        <v>42</v>
      </c>
      <c r="AX3" s="17" t="s">
        <v>38</v>
      </c>
      <c r="AY3" s="18" t="s">
        <v>39</v>
      </c>
      <c r="AZ3" s="18" t="s">
        <v>40</v>
      </c>
      <c r="BA3" s="18" t="s">
        <v>41</v>
      </c>
      <c r="BB3" s="17" t="s">
        <v>45</v>
      </c>
      <c r="BC3" s="17" t="s">
        <v>42</v>
      </c>
      <c r="BD3" s="15" t="s">
        <v>38</v>
      </c>
      <c r="BE3" s="16" t="s">
        <v>39</v>
      </c>
      <c r="BF3" s="16" t="s">
        <v>40</v>
      </c>
      <c r="BG3" s="16" t="s">
        <v>41</v>
      </c>
      <c r="BH3" s="15" t="s">
        <v>45</v>
      </c>
      <c r="BI3" s="15" t="s">
        <v>42</v>
      </c>
      <c r="BJ3" s="17" t="s">
        <v>38</v>
      </c>
      <c r="BK3" s="18" t="s">
        <v>39</v>
      </c>
      <c r="BL3" s="18" t="s">
        <v>40</v>
      </c>
      <c r="BM3" s="18" t="s">
        <v>41</v>
      </c>
      <c r="BN3" s="17" t="s">
        <v>45</v>
      </c>
      <c r="BO3" s="17" t="s">
        <v>42</v>
      </c>
      <c r="BP3" s="15" t="s">
        <v>38</v>
      </c>
      <c r="BQ3" s="16" t="s">
        <v>39</v>
      </c>
      <c r="BR3" s="16" t="s">
        <v>40</v>
      </c>
      <c r="BS3" s="16" t="s">
        <v>41</v>
      </c>
      <c r="BT3" s="15" t="s">
        <v>45</v>
      </c>
      <c r="BU3" s="15" t="s">
        <v>42</v>
      </c>
      <c r="BW3" s="78" t="s">
        <v>0</v>
      </c>
      <c r="BX3" s="79" t="s">
        <v>63</v>
      </c>
    </row>
    <row r="4" spans="1:76" x14ac:dyDescent="0.25">
      <c r="A4" s="2" t="s">
        <v>2</v>
      </c>
      <c r="B4" s="19">
        <v>1100000</v>
      </c>
      <c r="C4" s="20">
        <v>50000</v>
      </c>
      <c r="D4" s="21">
        <f>(31-5+1)/31</f>
        <v>0.87096774193548387</v>
      </c>
      <c r="E4" s="22">
        <f>(B4+D4*C4)/SUM(B$14:C$14)</f>
        <v>0.19289367722276637</v>
      </c>
      <c r="F4" s="19">
        <v>1205500</v>
      </c>
      <c r="G4" s="23">
        <f>(F4-B4-C4)/(B4+D4*C4)</f>
        <v>4.8533145275035258E-2</v>
      </c>
      <c r="H4" s="3">
        <f>F4</f>
        <v>1205500</v>
      </c>
      <c r="I4" s="4"/>
      <c r="J4" s="5"/>
      <c r="K4" s="6">
        <f>(H4+J4*I4)/SUM(H$14:I$14)</f>
        <v>0.19578204934863055</v>
      </c>
      <c r="L4" s="3">
        <v>1206000</v>
      </c>
      <c r="M4" s="25">
        <f>(L4-H4-I4)/(H4+J4*I4)</f>
        <v>4.1476565740356696E-4</v>
      </c>
      <c r="N4" s="19">
        <f>L4</f>
        <v>1206000</v>
      </c>
      <c r="O4" s="20"/>
      <c r="P4" s="21"/>
      <c r="Q4" s="22">
        <f>(N4+P4*O4)/SUM(N$14:O$14)</f>
        <v>0.19476744186046513</v>
      </c>
      <c r="R4" s="19">
        <v>1200000</v>
      </c>
      <c r="S4" s="23">
        <f>(R4-N4-O4)/(N4+P4*O4)</f>
        <v>-4.9751243781094526E-3</v>
      </c>
      <c r="T4" s="3">
        <f>R4</f>
        <v>1200000</v>
      </c>
      <c r="U4" s="4"/>
      <c r="V4" s="5"/>
      <c r="W4" s="6">
        <f>(T4+V4*U4)/SUM(T$14:U$14)</f>
        <v>0.19498669597899762</v>
      </c>
      <c r="X4" s="3">
        <v>1185000</v>
      </c>
      <c r="Y4" s="25">
        <f>(X4-T4-U4)/(T4+V4*U4)</f>
        <v>-1.2500000000000001E-2</v>
      </c>
      <c r="Z4" s="19">
        <f>X4</f>
        <v>1185000</v>
      </c>
      <c r="AA4" s="20"/>
      <c r="AB4" s="21"/>
      <c r="AC4" s="6">
        <f>(Z4+AB4*AA4)/SUM(Z$14:AA$14)</f>
        <v>0.19426229508196721</v>
      </c>
      <c r="AD4" s="19">
        <v>1180000</v>
      </c>
      <c r="AE4" s="23">
        <f>(AD4-Z4-AA4)/(Z4+AB4*AA4)</f>
        <v>-4.2194092827004216E-3</v>
      </c>
      <c r="AF4" s="3">
        <f>AD4</f>
        <v>1180000</v>
      </c>
      <c r="AG4" s="4"/>
      <c r="AH4" s="5"/>
      <c r="AI4" s="6">
        <f>(AF4+AH4*AG4)/SUM(AF$14:AG$14)</f>
        <v>0.19865319865319866</v>
      </c>
      <c r="AJ4" s="3">
        <v>1170000</v>
      </c>
      <c r="AK4" s="25">
        <f>(AJ4-AF4-AG4)/(AF4+AH4*AG4)</f>
        <v>-8.4745762711864406E-3</v>
      </c>
      <c r="AL4" s="19">
        <f>AJ4</f>
        <v>1170000</v>
      </c>
      <c r="AM4" s="20"/>
      <c r="AN4" s="21"/>
      <c r="AO4" s="6">
        <f>(AL4+AN4*AM4)/SUM(AL$14:AM$14)</f>
        <v>0.19710242587601079</v>
      </c>
      <c r="AP4" s="19">
        <v>1175000</v>
      </c>
      <c r="AQ4" s="23">
        <f>(AP4-AL4-AM4)/(AL4+AN4*AM4)</f>
        <v>4.2735042735042739E-3</v>
      </c>
      <c r="AR4" s="3">
        <f>AP4</f>
        <v>1175000</v>
      </c>
      <c r="AS4" s="4"/>
      <c r="AT4" s="5"/>
      <c r="AU4" s="6">
        <f t="shared" ref="AU4:AU12" si="0">(AR4+AT4*AS4)/SUM(AR$14:AS$14)</f>
        <v>0.19635695187165775</v>
      </c>
      <c r="AV4" s="3">
        <v>1161000</v>
      </c>
      <c r="AW4" s="25">
        <f>(AV4-AR4-AS4)/(AR4+AT4*AS4)</f>
        <v>-1.1914893617021277E-2</v>
      </c>
      <c r="AX4" s="19">
        <f>AV4</f>
        <v>1161000</v>
      </c>
      <c r="AY4" s="20"/>
      <c r="AZ4" s="21"/>
      <c r="BA4" s="6">
        <f t="shared" ref="BA4:BA12" si="1">(AX4+AZ4*AY4)/SUM(AX$14:AY$14)</f>
        <v>0.19260119442601195</v>
      </c>
      <c r="BB4" s="19">
        <v>1163000</v>
      </c>
      <c r="BC4" s="23">
        <f>(BB4-AX4-AY4)/(AX4+AZ4*AY4)</f>
        <v>1.7226528854435831E-3</v>
      </c>
      <c r="BD4" s="3">
        <f>BB4</f>
        <v>1163000</v>
      </c>
      <c r="BE4" s="4"/>
      <c r="BF4" s="5"/>
      <c r="BG4" s="6">
        <f t="shared" ref="BG4:BG12" si="2">(BD4+BF4*BE4)/SUM(BD$14:BE$14)</f>
        <v>0.19135700902832697</v>
      </c>
      <c r="BH4" s="3">
        <v>1165000</v>
      </c>
      <c r="BI4" s="25">
        <f>(BH4-BD4-BE4)/(BD4+BF4*BE4)</f>
        <v>1.7196904557179708E-3</v>
      </c>
      <c r="BJ4" s="19">
        <f>BH4</f>
        <v>1165000</v>
      </c>
      <c r="BK4" s="20"/>
      <c r="BL4" s="21"/>
      <c r="BM4" s="6">
        <f t="shared" ref="BM4:BM12" si="3">(BJ4+BL4*BK4)/SUM(BJ$14:BK$14)</f>
        <v>0.18907222071950228</v>
      </c>
      <c r="BN4" s="19">
        <v>1170000</v>
      </c>
      <c r="BO4" s="23">
        <f>(BN4-BJ4-BK4)/(BJ4+BL4*BK4)</f>
        <v>4.2918454935622317E-3</v>
      </c>
      <c r="BP4" s="3">
        <f>BN4</f>
        <v>1170000</v>
      </c>
      <c r="BQ4" s="4"/>
      <c r="BR4" s="5"/>
      <c r="BS4" s="6">
        <f t="shared" ref="BS4:BS12" si="4">(BP4+BR4*BQ4)/SUM(BP$14:BQ$14)</f>
        <v>0.18780096308186195</v>
      </c>
      <c r="BT4" s="3">
        <v>1180000</v>
      </c>
      <c r="BU4" s="25">
        <f>(BT4-BP4-BQ4)/(BP4+BR4*BQ4)</f>
        <v>8.5470085470085479E-3</v>
      </c>
      <c r="BW4" s="80" t="s">
        <v>2</v>
      </c>
      <c r="BX4" s="25">
        <f t="array" ref="BX4">PRODUCT(1+G5:BU5)-1</f>
        <v>2.6353472770254571E-2</v>
      </c>
    </row>
    <row r="5" spans="1:76" hidden="1" x14ac:dyDescent="0.25">
      <c r="A5" s="2"/>
      <c r="B5" s="19"/>
      <c r="C5" s="20"/>
      <c r="D5" s="21"/>
      <c r="E5" s="22"/>
      <c r="F5" s="19"/>
      <c r="G5" s="32">
        <f>G4</f>
        <v>4.8533145275035258E-2</v>
      </c>
      <c r="H5" s="3"/>
      <c r="I5" s="4"/>
      <c r="J5" s="5"/>
      <c r="K5" s="6"/>
      <c r="L5" s="3"/>
      <c r="M5" s="32">
        <f>M4</f>
        <v>4.1476565740356696E-4</v>
      </c>
      <c r="N5" s="19"/>
      <c r="O5" s="20"/>
      <c r="P5" s="21"/>
      <c r="Q5" s="22"/>
      <c r="R5" s="19"/>
      <c r="S5" s="32">
        <f>S4</f>
        <v>-4.9751243781094526E-3</v>
      </c>
      <c r="T5" s="3"/>
      <c r="U5" s="4"/>
      <c r="V5" s="5"/>
      <c r="W5" s="6"/>
      <c r="X5" s="3"/>
      <c r="Y5" s="32">
        <f>Y4</f>
        <v>-1.2500000000000001E-2</v>
      </c>
      <c r="Z5" s="19"/>
      <c r="AA5" s="20"/>
      <c r="AB5" s="21"/>
      <c r="AC5" s="6"/>
      <c r="AD5" s="19"/>
      <c r="AE5" s="32">
        <f>AE4</f>
        <v>-4.2194092827004216E-3</v>
      </c>
      <c r="AF5" s="3"/>
      <c r="AG5" s="4"/>
      <c r="AH5" s="5"/>
      <c r="AI5" s="6"/>
      <c r="AJ5" s="3"/>
      <c r="AK5" s="32">
        <f>AK4</f>
        <v>-8.4745762711864406E-3</v>
      </c>
      <c r="AL5" s="19"/>
      <c r="AM5" s="20"/>
      <c r="AN5" s="21"/>
      <c r="AO5" s="6"/>
      <c r="AP5" s="19"/>
      <c r="AQ5" s="32">
        <f>AQ4</f>
        <v>4.2735042735042739E-3</v>
      </c>
      <c r="AR5" s="3"/>
      <c r="AS5" s="4"/>
      <c r="AT5" s="5"/>
      <c r="AU5" s="6">
        <f t="shared" si="0"/>
        <v>0</v>
      </c>
      <c r="AV5" s="3"/>
      <c r="AW5" s="32">
        <f>AW4</f>
        <v>-1.1914893617021277E-2</v>
      </c>
      <c r="AX5" s="19"/>
      <c r="AY5" s="20"/>
      <c r="AZ5" s="21"/>
      <c r="BA5" s="6">
        <f t="shared" si="1"/>
        <v>0</v>
      </c>
      <c r="BB5" s="19"/>
      <c r="BC5" s="32">
        <f>BC4</f>
        <v>1.7226528854435831E-3</v>
      </c>
      <c r="BD5" s="3"/>
      <c r="BE5" s="4"/>
      <c r="BF5" s="5"/>
      <c r="BG5" s="6">
        <f t="shared" si="2"/>
        <v>0</v>
      </c>
      <c r="BH5" s="3"/>
      <c r="BI5" s="32">
        <f>BI4</f>
        <v>1.7196904557179708E-3</v>
      </c>
      <c r="BJ5" s="19"/>
      <c r="BK5" s="20"/>
      <c r="BL5" s="21"/>
      <c r="BM5" s="6">
        <f t="shared" si="3"/>
        <v>0</v>
      </c>
      <c r="BN5" s="19"/>
      <c r="BO5" s="32">
        <f>BO4</f>
        <v>4.2918454935622317E-3</v>
      </c>
      <c r="BP5" s="3"/>
      <c r="BQ5" s="4"/>
      <c r="BR5" s="5"/>
      <c r="BS5" s="6">
        <f t="shared" si="4"/>
        <v>0</v>
      </c>
      <c r="BT5" s="3"/>
      <c r="BU5" s="32">
        <f>BU4</f>
        <v>8.5470085470085479E-3</v>
      </c>
      <c r="BW5" s="80"/>
      <c r="BX5" s="81"/>
    </row>
    <row r="6" spans="1:76" x14ac:dyDescent="0.25">
      <c r="A6" s="2" t="s">
        <v>3</v>
      </c>
      <c r="B6" s="19">
        <v>1150000</v>
      </c>
      <c r="C6" s="20">
        <v>100000</v>
      </c>
      <c r="D6" s="21">
        <f>(31-15+1)/31</f>
        <v>0.54838709677419351</v>
      </c>
      <c r="E6" s="22">
        <f t="shared" ref="E6:E12" si="5">(B6+D6*C6)/SUM(B$14:C$14)</f>
        <v>0.20323212536728699</v>
      </c>
      <c r="F6" s="19">
        <v>1262000</v>
      </c>
      <c r="G6" s="23">
        <f>(F6-B6-C6)/(B6+D6*C6)</f>
        <v>9.9598393574297193E-3</v>
      </c>
      <c r="H6" s="3">
        <f t="shared" ref="H6" si="6">F6</f>
        <v>1262000</v>
      </c>
      <c r="I6" s="4"/>
      <c r="J6" s="5"/>
      <c r="K6" s="6">
        <f t="shared" ref="K6:K12" si="7">(H6+J6*I6)/SUM(H$14:I$14)</f>
        <v>0.20495806410449752</v>
      </c>
      <c r="L6" s="3">
        <v>1263000</v>
      </c>
      <c r="M6" s="25">
        <f t="shared" ref="M6" si="8">(L6-H6-I6)/(H6+J6*I6)</f>
        <v>7.9239302694136295E-4</v>
      </c>
      <c r="N6" s="19">
        <f t="shared" ref="N6" si="9">L6</f>
        <v>1263000</v>
      </c>
      <c r="O6" s="20"/>
      <c r="P6" s="21"/>
      <c r="Q6" s="22">
        <f t="shared" ref="Q6:Q12" si="10">(N6+P6*O6)/SUM(N$14:O$14)</f>
        <v>0.20397286821705427</v>
      </c>
      <c r="R6" s="19">
        <v>1256000</v>
      </c>
      <c r="S6" s="23">
        <f>(R6-N6-O6)/(N6+P6*O6)</f>
        <v>-5.5423594615993665E-3</v>
      </c>
      <c r="T6" s="3">
        <f>R6</f>
        <v>1256000</v>
      </c>
      <c r="U6" s="4"/>
      <c r="V6" s="5"/>
      <c r="W6" s="6">
        <f t="shared" ref="W6:W12" si="11">(T6+V6*U6)/SUM(T$14:U$14)</f>
        <v>0.20408607512468419</v>
      </c>
      <c r="X6" s="3">
        <v>1250000</v>
      </c>
      <c r="Y6" s="25">
        <f>(X6-T6-U6)/(T6+V6*U6)</f>
        <v>-4.7770700636942673E-3</v>
      </c>
      <c r="Z6" s="19">
        <f>X6</f>
        <v>1250000</v>
      </c>
      <c r="AA6" s="20"/>
      <c r="AB6" s="21"/>
      <c r="AC6" s="6">
        <f t="shared" ref="AC6:AC12" si="12">(Z6+AB6*AA6)/SUM(Z$14:AA$14)</f>
        <v>0.20491803278688525</v>
      </c>
      <c r="AD6" s="19">
        <v>1200000</v>
      </c>
      <c r="AE6" s="23">
        <f>(AD6-Z6-AA6)/(Z6+AB6*AA6)</f>
        <v>-0.04</v>
      </c>
      <c r="AF6" s="3">
        <f>AD6</f>
        <v>1200000</v>
      </c>
      <c r="AG6" s="4"/>
      <c r="AH6" s="5"/>
      <c r="AI6" s="6">
        <f t="shared" ref="AI6:AI12" si="13">(AF6+AH6*AG6)/SUM(AF$14:AG$14)</f>
        <v>0.20202020202020202</v>
      </c>
      <c r="AJ6" s="3">
        <v>1176000</v>
      </c>
      <c r="AK6" s="25">
        <f>(AJ6-AF6-AG6)/(AF6+AH6*AG6)</f>
        <v>-0.02</v>
      </c>
      <c r="AL6" s="19">
        <f>AJ6</f>
        <v>1176000</v>
      </c>
      <c r="AM6" s="20"/>
      <c r="AN6" s="21"/>
      <c r="AO6" s="6">
        <f t="shared" ref="AO6:AO12" si="14">(AL6+AN6*AM6)/SUM(AL$14:AM$14)</f>
        <v>0.19811320754716982</v>
      </c>
      <c r="AP6" s="19">
        <v>1179000</v>
      </c>
      <c r="AQ6" s="23">
        <f>(AP6-AL6-AM6)/(AL6+AN6*AM6)</f>
        <v>2.5510204081632651E-3</v>
      </c>
      <c r="AR6" s="3">
        <f t="shared" ref="AR6" si="15">AP6</f>
        <v>1179000</v>
      </c>
      <c r="AS6" s="4"/>
      <c r="AT6" s="5"/>
      <c r="AU6" s="6">
        <f t="shared" si="0"/>
        <v>0.19702540106951871</v>
      </c>
      <c r="AV6" s="3">
        <v>1176000</v>
      </c>
      <c r="AW6" s="25">
        <f t="shared" ref="AW6" si="16">(AV6-AR6-AS6)/(AR6+AT6*AS6)</f>
        <v>-2.5445292620865142E-3</v>
      </c>
      <c r="AX6" s="19">
        <f t="shared" ref="AX6" si="17">AV6</f>
        <v>1176000</v>
      </c>
      <c r="AY6" s="20"/>
      <c r="AZ6" s="21"/>
      <c r="BA6" s="6">
        <f t="shared" si="1"/>
        <v>0.19508958195089582</v>
      </c>
      <c r="BB6" s="19">
        <v>1185000</v>
      </c>
      <c r="BC6" s="23">
        <f>(BB6-AX6-AY6)/(AX6+AZ6*AY6)</f>
        <v>7.6530612244897957E-3</v>
      </c>
      <c r="BD6" s="3">
        <f t="shared" ref="BD6" si="18">BB6</f>
        <v>1185000</v>
      </c>
      <c r="BE6" s="4"/>
      <c r="BF6" s="5"/>
      <c r="BG6" s="6">
        <f t="shared" si="2"/>
        <v>0.19497683207099525</v>
      </c>
      <c r="BH6" s="3">
        <v>1190000</v>
      </c>
      <c r="BI6" s="25">
        <f t="shared" ref="BI6" si="19">(BH6-BD6-BE6)/(BD6+BF6*BE6)</f>
        <v>4.2194092827004216E-3</v>
      </c>
      <c r="BJ6" s="19">
        <f t="shared" ref="BJ6" si="20">BH6</f>
        <v>1190000</v>
      </c>
      <c r="BK6" s="20"/>
      <c r="BL6" s="21"/>
      <c r="BM6" s="6">
        <f t="shared" si="3"/>
        <v>0.1931295645117663</v>
      </c>
      <c r="BN6" s="19">
        <v>1195000</v>
      </c>
      <c r="BO6" s="23">
        <f>(BN6-BJ6-BK6)/(BJ6+BL6*BK6)</f>
        <v>4.2016806722689074E-3</v>
      </c>
      <c r="BP6" s="3">
        <f t="shared" ref="BP6" si="21">BN6</f>
        <v>1195000</v>
      </c>
      <c r="BQ6" s="4"/>
      <c r="BR6" s="5"/>
      <c r="BS6" s="6">
        <f t="shared" si="4"/>
        <v>0.19181380417335472</v>
      </c>
      <c r="BT6" s="3">
        <v>1197000</v>
      </c>
      <c r="BU6" s="25">
        <f t="shared" ref="BU6" si="22">(BT6-BP6-BQ6)/(BP6+BR6*BQ6)</f>
        <v>1.6736401673640166E-3</v>
      </c>
      <c r="BW6" s="80" t="s">
        <v>3</v>
      </c>
      <c r="BX6" s="25">
        <f t="array" ref="BX6">PRODUCT(1+G7:BU7)-1</f>
        <v>-4.2058694365417093E-2</v>
      </c>
    </row>
    <row r="7" spans="1:76" hidden="1" x14ac:dyDescent="0.25">
      <c r="A7" s="2"/>
      <c r="B7" s="19"/>
      <c r="C7" s="20"/>
      <c r="D7" s="21"/>
      <c r="E7" s="22">
        <f t="shared" si="5"/>
        <v>0</v>
      </c>
      <c r="F7" s="19"/>
      <c r="G7" s="32">
        <f>G6</f>
        <v>9.9598393574297193E-3</v>
      </c>
      <c r="H7" s="3"/>
      <c r="I7" s="4"/>
      <c r="J7" s="5"/>
      <c r="K7" s="6">
        <f t="shared" si="7"/>
        <v>0</v>
      </c>
      <c r="L7" s="3"/>
      <c r="M7" s="32">
        <f>M6</f>
        <v>7.9239302694136295E-4</v>
      </c>
      <c r="N7" s="19"/>
      <c r="O7" s="20"/>
      <c r="P7" s="21"/>
      <c r="Q7" s="22">
        <f t="shared" si="10"/>
        <v>0</v>
      </c>
      <c r="R7" s="19"/>
      <c r="S7" s="32">
        <f>S6</f>
        <v>-5.5423594615993665E-3</v>
      </c>
      <c r="T7" s="3"/>
      <c r="U7" s="4"/>
      <c r="V7" s="5"/>
      <c r="W7" s="6">
        <f t="shared" si="11"/>
        <v>0</v>
      </c>
      <c r="X7" s="3"/>
      <c r="Y7" s="32">
        <f>Y6</f>
        <v>-4.7770700636942673E-3</v>
      </c>
      <c r="Z7" s="19"/>
      <c r="AA7" s="20"/>
      <c r="AB7" s="21"/>
      <c r="AC7" s="6">
        <f t="shared" si="12"/>
        <v>0</v>
      </c>
      <c r="AD7" s="19"/>
      <c r="AE7" s="32">
        <f>AE6</f>
        <v>-0.04</v>
      </c>
      <c r="AF7" s="3"/>
      <c r="AG7" s="4"/>
      <c r="AH7" s="5"/>
      <c r="AI7" s="6">
        <f t="shared" si="13"/>
        <v>0</v>
      </c>
      <c r="AJ7" s="3"/>
      <c r="AK7" s="32">
        <f>AK6</f>
        <v>-0.02</v>
      </c>
      <c r="AL7" s="19"/>
      <c r="AM7" s="20"/>
      <c r="AN7" s="21"/>
      <c r="AO7" s="6">
        <f t="shared" si="14"/>
        <v>0</v>
      </c>
      <c r="AP7" s="19"/>
      <c r="AQ7" s="32">
        <f>AQ6</f>
        <v>2.5510204081632651E-3</v>
      </c>
      <c r="AR7" s="3"/>
      <c r="AS7" s="4"/>
      <c r="AT7" s="5"/>
      <c r="AU7" s="6">
        <f t="shared" si="0"/>
        <v>0</v>
      </c>
      <c r="AV7" s="3"/>
      <c r="AW7" s="32">
        <f>AW6</f>
        <v>-2.5445292620865142E-3</v>
      </c>
      <c r="AX7" s="19"/>
      <c r="AY7" s="20"/>
      <c r="AZ7" s="21"/>
      <c r="BA7" s="6">
        <f t="shared" si="1"/>
        <v>0</v>
      </c>
      <c r="BB7" s="19"/>
      <c r="BC7" s="32">
        <f>BC6</f>
        <v>7.6530612244897957E-3</v>
      </c>
      <c r="BD7" s="3"/>
      <c r="BE7" s="4"/>
      <c r="BF7" s="5"/>
      <c r="BG7" s="6">
        <f t="shared" si="2"/>
        <v>0</v>
      </c>
      <c r="BH7" s="3"/>
      <c r="BI7" s="32">
        <f>BI6</f>
        <v>4.2194092827004216E-3</v>
      </c>
      <c r="BJ7" s="19"/>
      <c r="BK7" s="20"/>
      <c r="BL7" s="21"/>
      <c r="BM7" s="6">
        <f t="shared" si="3"/>
        <v>0</v>
      </c>
      <c r="BN7" s="19"/>
      <c r="BO7" s="32">
        <f>BO6</f>
        <v>4.2016806722689074E-3</v>
      </c>
      <c r="BP7" s="3"/>
      <c r="BQ7" s="4"/>
      <c r="BR7" s="5"/>
      <c r="BS7" s="6">
        <f t="shared" si="4"/>
        <v>0</v>
      </c>
      <c r="BT7" s="3"/>
      <c r="BU7" s="32">
        <f>BU6</f>
        <v>1.6736401673640166E-3</v>
      </c>
      <c r="BW7" s="80"/>
      <c r="BX7" s="81"/>
    </row>
    <row r="8" spans="1:76" x14ac:dyDescent="0.25">
      <c r="A8" s="2" t="s">
        <v>1</v>
      </c>
      <c r="B8" s="19">
        <v>1170000</v>
      </c>
      <c r="C8" s="20"/>
      <c r="D8" s="20"/>
      <c r="E8" s="22">
        <f t="shared" si="5"/>
        <v>0.19735553379040158</v>
      </c>
      <c r="F8" s="19">
        <v>1175000</v>
      </c>
      <c r="G8" s="23">
        <f>(F8-B8-C8)/(B8+D8*C8)</f>
        <v>4.2735042735042739E-3</v>
      </c>
      <c r="H8" s="3">
        <f t="shared" ref="H8" si="23">F8</f>
        <v>1175000</v>
      </c>
      <c r="I8" s="4">
        <v>100000</v>
      </c>
      <c r="J8" s="58">
        <f>(28-2)/28</f>
        <v>0.9285714285714286</v>
      </c>
      <c r="K8" s="6">
        <f t="shared" si="7"/>
        <v>0.20590930710068098</v>
      </c>
      <c r="L8" s="3">
        <v>1280000</v>
      </c>
      <c r="M8" s="25">
        <f t="shared" ref="M8" si="24">(L8-H8-I8)/(H8+J8*I8)</f>
        <v>3.9436619718309857E-3</v>
      </c>
      <c r="N8" s="19">
        <f t="shared" ref="N8" si="25">L8</f>
        <v>1280000</v>
      </c>
      <c r="O8" s="20"/>
      <c r="P8" s="20"/>
      <c r="Q8" s="22">
        <f t="shared" si="10"/>
        <v>0.20671834625322996</v>
      </c>
      <c r="R8" s="19">
        <v>1270000</v>
      </c>
      <c r="S8" s="23">
        <f>(R8-N8-O8)/(N8+P8*O8)</f>
        <v>-7.8125E-3</v>
      </c>
      <c r="T8" s="3">
        <f>R8</f>
        <v>1270000</v>
      </c>
      <c r="U8" s="4"/>
      <c r="V8" s="6"/>
      <c r="W8" s="6">
        <f t="shared" si="11"/>
        <v>0.20636091991110583</v>
      </c>
      <c r="X8" s="3">
        <v>1255000</v>
      </c>
      <c r="Y8" s="25">
        <f>(X8-T8-U8)/(T8+V8*U8)</f>
        <v>-1.1811023622047244E-2</v>
      </c>
      <c r="Z8" s="19">
        <f>X8</f>
        <v>1255000</v>
      </c>
      <c r="AA8" s="20"/>
      <c r="AB8" s="20"/>
      <c r="AC8" s="6">
        <f t="shared" si="12"/>
        <v>0.20573770491803278</v>
      </c>
      <c r="AD8" s="19">
        <v>1230000</v>
      </c>
      <c r="AE8" s="23">
        <f>(AD8-Z8-AA8)/(Z8+AB8*AA8)</f>
        <v>-1.9920318725099601E-2</v>
      </c>
      <c r="AF8" s="3">
        <f>AD8</f>
        <v>1230000</v>
      </c>
      <c r="AG8" s="4"/>
      <c r="AH8" s="6"/>
      <c r="AI8" s="6">
        <f t="shared" si="13"/>
        <v>0.20707070707070707</v>
      </c>
      <c r="AJ8" s="3">
        <v>1240000</v>
      </c>
      <c r="AK8" s="25">
        <f>(AJ8-AF8-AG8)/(AF8+AH8*AG8)</f>
        <v>8.130081300813009E-3</v>
      </c>
      <c r="AL8" s="19">
        <f>AJ8</f>
        <v>1240000</v>
      </c>
      <c r="AM8" s="20"/>
      <c r="AN8" s="20"/>
      <c r="AO8" s="6">
        <f t="shared" si="14"/>
        <v>0.20889487870619947</v>
      </c>
      <c r="AP8" s="19">
        <v>1250000</v>
      </c>
      <c r="AQ8" s="23">
        <f>(AP8-AL8-AM8)/(AL8+AN8*AM8)</f>
        <v>8.0645161290322578E-3</v>
      </c>
      <c r="AR8" s="3">
        <f t="shared" ref="AR8" si="26">AP8</f>
        <v>1250000</v>
      </c>
      <c r="AS8" s="4"/>
      <c r="AT8" s="6"/>
      <c r="AU8" s="6">
        <f t="shared" si="0"/>
        <v>0.2088903743315508</v>
      </c>
      <c r="AV8" s="3">
        <v>1230000</v>
      </c>
      <c r="AW8" s="25">
        <f t="shared" ref="AW8" si="27">(AV8-AR8-AS8)/(AR8+AT8*AS8)</f>
        <v>-1.6E-2</v>
      </c>
      <c r="AX8" s="19">
        <f t="shared" ref="AX8" si="28">AV8</f>
        <v>1230000</v>
      </c>
      <c r="AY8" s="20"/>
      <c r="AZ8" s="20"/>
      <c r="BA8" s="6">
        <f t="shared" si="1"/>
        <v>0.20404777704047777</v>
      </c>
      <c r="BB8" s="19">
        <v>1240000</v>
      </c>
      <c r="BC8" s="23">
        <f>(BB8-AX8-AY8)/(AX8+AZ8*AY8)</f>
        <v>8.130081300813009E-3</v>
      </c>
      <c r="BD8" s="3">
        <f t="shared" ref="BD8" si="29">BB8</f>
        <v>1240000</v>
      </c>
      <c r="BE8" s="4"/>
      <c r="BF8" s="6"/>
      <c r="BG8" s="6">
        <f t="shared" si="2"/>
        <v>0.2040263896776659</v>
      </c>
      <c r="BH8" s="3">
        <v>1250000</v>
      </c>
      <c r="BI8" s="25">
        <f t="shared" ref="BI8" si="30">(BH8-BD8-BE8)/(BD8+BF8*BE8)</f>
        <v>8.0645161290322578E-3</v>
      </c>
      <c r="BJ8" s="19">
        <f t="shared" ref="BJ8" si="31">BH8</f>
        <v>1250000</v>
      </c>
      <c r="BK8" s="20"/>
      <c r="BL8" s="20"/>
      <c r="BM8" s="6">
        <f t="shared" si="3"/>
        <v>0.20286718961319988</v>
      </c>
      <c r="BN8" s="19">
        <v>1260000</v>
      </c>
      <c r="BO8" s="23">
        <f>(BN8-BJ8-BK8)/(BJ8+BL8*BK8)</f>
        <v>8.0000000000000002E-3</v>
      </c>
      <c r="BP8" s="3">
        <f t="shared" ref="BP8" si="32">BN8</f>
        <v>1260000</v>
      </c>
      <c r="BQ8" s="4"/>
      <c r="BR8" s="6"/>
      <c r="BS8" s="6">
        <f t="shared" si="4"/>
        <v>0.20224719101123595</v>
      </c>
      <c r="BT8" s="3">
        <v>1261000</v>
      </c>
      <c r="BU8" s="25">
        <f t="shared" ref="BU8" si="33">(BT8-BP8-BQ8)/(BP8+BR8*BQ8)</f>
        <v>7.9365079365079365E-4</v>
      </c>
      <c r="BW8" s="80" t="s">
        <v>1</v>
      </c>
      <c r="BX8" s="25">
        <f t="array" ref="BX8">PRODUCT(1+G9:BU9)-1</f>
        <v>-6.7319542253522213E-3</v>
      </c>
    </row>
    <row r="9" spans="1:76" hidden="1" x14ac:dyDescent="0.25">
      <c r="A9" s="2"/>
      <c r="B9" s="19"/>
      <c r="C9" s="20"/>
      <c r="D9" s="20"/>
      <c r="E9" s="22">
        <f t="shared" si="5"/>
        <v>0</v>
      </c>
      <c r="F9" s="19"/>
      <c r="G9" s="32">
        <f>G8</f>
        <v>4.2735042735042739E-3</v>
      </c>
      <c r="H9" s="3"/>
      <c r="I9" s="4"/>
      <c r="J9" s="6"/>
      <c r="K9" s="6">
        <f t="shared" si="7"/>
        <v>0</v>
      </c>
      <c r="L9" s="3"/>
      <c r="M9" s="32">
        <f>M8</f>
        <v>3.9436619718309857E-3</v>
      </c>
      <c r="N9" s="19"/>
      <c r="O9" s="20"/>
      <c r="P9" s="20"/>
      <c r="Q9" s="22">
        <f t="shared" si="10"/>
        <v>0</v>
      </c>
      <c r="R9" s="19"/>
      <c r="S9" s="32">
        <f>S8</f>
        <v>-7.8125E-3</v>
      </c>
      <c r="T9" s="3"/>
      <c r="U9" s="4"/>
      <c r="V9" s="6"/>
      <c r="W9" s="6">
        <f t="shared" si="11"/>
        <v>0</v>
      </c>
      <c r="X9" s="3"/>
      <c r="Y9" s="32">
        <f>Y8</f>
        <v>-1.1811023622047244E-2</v>
      </c>
      <c r="Z9" s="19"/>
      <c r="AA9" s="20"/>
      <c r="AB9" s="20"/>
      <c r="AC9" s="6">
        <f t="shared" si="12"/>
        <v>0</v>
      </c>
      <c r="AD9" s="19"/>
      <c r="AE9" s="32">
        <f>AE8</f>
        <v>-1.9920318725099601E-2</v>
      </c>
      <c r="AF9" s="3"/>
      <c r="AG9" s="4"/>
      <c r="AH9" s="6"/>
      <c r="AI9" s="6">
        <f t="shared" si="13"/>
        <v>0</v>
      </c>
      <c r="AJ9" s="3"/>
      <c r="AK9" s="32">
        <f>AK8</f>
        <v>8.130081300813009E-3</v>
      </c>
      <c r="AL9" s="19"/>
      <c r="AM9" s="20"/>
      <c r="AN9" s="20"/>
      <c r="AO9" s="6">
        <f t="shared" si="14"/>
        <v>0</v>
      </c>
      <c r="AP9" s="19"/>
      <c r="AQ9" s="32">
        <f>AQ8</f>
        <v>8.0645161290322578E-3</v>
      </c>
      <c r="AR9" s="3"/>
      <c r="AS9" s="4"/>
      <c r="AT9" s="6"/>
      <c r="AU9" s="6">
        <f t="shared" si="0"/>
        <v>0</v>
      </c>
      <c r="AV9" s="3"/>
      <c r="AW9" s="32">
        <f>AW8</f>
        <v>-1.6E-2</v>
      </c>
      <c r="AX9" s="19"/>
      <c r="AY9" s="20"/>
      <c r="AZ9" s="20"/>
      <c r="BA9" s="6">
        <f t="shared" si="1"/>
        <v>0</v>
      </c>
      <c r="BB9" s="19"/>
      <c r="BC9" s="32">
        <f>BC8</f>
        <v>8.130081300813009E-3</v>
      </c>
      <c r="BD9" s="3"/>
      <c r="BE9" s="4"/>
      <c r="BF9" s="6"/>
      <c r="BG9" s="6">
        <f t="shared" si="2"/>
        <v>0</v>
      </c>
      <c r="BH9" s="3"/>
      <c r="BI9" s="32">
        <f>BI8</f>
        <v>8.0645161290322578E-3</v>
      </c>
      <c r="BJ9" s="19"/>
      <c r="BK9" s="20"/>
      <c r="BL9" s="20"/>
      <c r="BM9" s="6">
        <f t="shared" si="3"/>
        <v>0</v>
      </c>
      <c r="BN9" s="19"/>
      <c r="BO9" s="32">
        <f>BO8</f>
        <v>8.0000000000000002E-3</v>
      </c>
      <c r="BP9" s="3"/>
      <c r="BQ9" s="4"/>
      <c r="BR9" s="6"/>
      <c r="BS9" s="6">
        <f t="shared" si="4"/>
        <v>0</v>
      </c>
      <c r="BT9" s="3"/>
      <c r="BU9" s="32">
        <f>BU8</f>
        <v>7.9365079365079365E-4</v>
      </c>
      <c r="BW9" s="80"/>
      <c r="BX9" s="81"/>
    </row>
    <row r="10" spans="1:76" x14ac:dyDescent="0.25">
      <c r="A10" s="2" t="s">
        <v>4</v>
      </c>
      <c r="B10" s="19">
        <v>1200000</v>
      </c>
      <c r="C10" s="20"/>
      <c r="D10" s="20"/>
      <c r="E10" s="22">
        <f t="shared" si="5"/>
        <v>0.20241593209271955</v>
      </c>
      <c r="F10" s="19">
        <v>1205000</v>
      </c>
      <c r="G10" s="23">
        <f>(F10-B10-C10)/(B10+D10*C10)</f>
        <v>4.1666666666666666E-3</v>
      </c>
      <c r="H10" s="3">
        <f t="shared" ref="H10" si="34">F10</f>
        <v>1205000</v>
      </c>
      <c r="I10" s="4"/>
      <c r="J10" s="4"/>
      <c r="K10" s="6">
        <f t="shared" si="7"/>
        <v>0.19570084567822466</v>
      </c>
      <c r="L10" s="3">
        <v>1215000</v>
      </c>
      <c r="M10" s="25">
        <f t="shared" ref="M10" si="35">(L10-H10-I10)/(H10+J10*I10)</f>
        <v>8.2987551867219917E-3</v>
      </c>
      <c r="N10" s="19">
        <f t="shared" ref="N10" si="36">L10</f>
        <v>1215000</v>
      </c>
      <c r="O10" s="20"/>
      <c r="P10" s="20"/>
      <c r="Q10" s="22">
        <f t="shared" si="10"/>
        <v>0.19622093023255813</v>
      </c>
      <c r="R10" s="19">
        <f>(1+S6)*N10</f>
        <v>1208266.0332541568</v>
      </c>
      <c r="S10" s="23">
        <f>(R10-N10-O10)/(N10+P10*O10)</f>
        <v>-5.5423594615993249E-3</v>
      </c>
      <c r="T10" s="3">
        <f>R10</f>
        <v>1208266.0332541568</v>
      </c>
      <c r="U10" s="4"/>
      <c r="V10" s="4"/>
      <c r="W10" s="6">
        <f t="shared" si="11"/>
        <v>0.1963298347398981</v>
      </c>
      <c r="X10" s="3">
        <v>1200000</v>
      </c>
      <c r="Y10" s="25">
        <f>(X10-T10-U10)/(T10+V10*U10)</f>
        <v>-6.8412361405992394E-3</v>
      </c>
      <c r="Z10" s="19">
        <f>X10</f>
        <v>1200000</v>
      </c>
      <c r="AA10" s="20"/>
      <c r="AB10" s="20"/>
      <c r="AC10" s="6">
        <f t="shared" si="12"/>
        <v>0.19672131147540983</v>
      </c>
      <c r="AD10" s="19">
        <v>1150000</v>
      </c>
      <c r="AE10" s="23">
        <f>(AD10-Z10-AA10)/(Z10+AB10*AA10)</f>
        <v>-4.1666666666666664E-2</v>
      </c>
      <c r="AF10" s="3">
        <f>AD10</f>
        <v>1150000</v>
      </c>
      <c r="AG10" s="4"/>
      <c r="AH10" s="4"/>
      <c r="AI10" s="6">
        <f t="shared" si="13"/>
        <v>0.19360269360269361</v>
      </c>
      <c r="AJ10" s="3">
        <v>1160000</v>
      </c>
      <c r="AK10" s="25">
        <f>(AJ10-AF10-AG10)/(AF10+AH10*AG10)</f>
        <v>8.6956521739130436E-3</v>
      </c>
      <c r="AL10" s="19">
        <f>AJ10</f>
        <v>1160000</v>
      </c>
      <c r="AM10" s="20"/>
      <c r="AN10" s="20"/>
      <c r="AO10" s="6">
        <f t="shared" si="14"/>
        <v>0.19541778975741239</v>
      </c>
      <c r="AP10" s="19">
        <v>1180000</v>
      </c>
      <c r="AQ10" s="23">
        <f>(AP10-AL10-AM10)/(AL10+AN10*AM10)</f>
        <v>1.7241379310344827E-2</v>
      </c>
      <c r="AR10" s="3">
        <f t="shared" ref="AR10" si="37">AP10</f>
        <v>1180000</v>
      </c>
      <c r="AS10" s="4"/>
      <c r="AT10" s="4"/>
      <c r="AU10" s="6">
        <f t="shared" si="0"/>
        <v>0.19719251336898397</v>
      </c>
      <c r="AV10" s="3">
        <v>1227000</v>
      </c>
      <c r="AW10" s="25">
        <f t="shared" ref="AW10" si="38">(AV10-AR10-AS10)/(AR10+AT10*AS10)</f>
        <v>3.9830508474576268E-2</v>
      </c>
      <c r="AX10" s="19">
        <f t="shared" ref="AX10" si="39">AV10</f>
        <v>1227000</v>
      </c>
      <c r="AY10" s="20"/>
      <c r="AZ10" s="20"/>
      <c r="BA10" s="6">
        <f t="shared" si="1"/>
        <v>0.20355009953550099</v>
      </c>
      <c r="BB10" s="19">
        <v>1240000</v>
      </c>
      <c r="BC10" s="23">
        <f>(BB10-AX10-AY10)/(AX10+AZ10*AY10)</f>
        <v>1.0594947025264874E-2</v>
      </c>
      <c r="BD10" s="3">
        <f t="shared" ref="BD10" si="40">BB10</f>
        <v>1240000</v>
      </c>
      <c r="BE10" s="4">
        <v>15000</v>
      </c>
      <c r="BF10" s="6">
        <f>(31-10+1)/31</f>
        <v>0.70967741935483875</v>
      </c>
      <c r="BG10" s="6">
        <f t="shared" si="2"/>
        <v>0.20577791695637637</v>
      </c>
      <c r="BH10" s="3">
        <v>1260000</v>
      </c>
      <c r="BI10" s="25">
        <f t="shared" ref="BI10" si="41">(BH10-BD10-BE10)/(BD10+BF10*BE10)</f>
        <v>3.9979365488779983E-3</v>
      </c>
      <c r="BJ10" s="19">
        <f t="shared" ref="BJ10" si="42">BH10</f>
        <v>1260000</v>
      </c>
      <c r="BK10" s="20"/>
      <c r="BL10" s="20"/>
      <c r="BM10" s="6">
        <f t="shared" si="3"/>
        <v>0.20449012713010548</v>
      </c>
      <c r="BN10" s="19">
        <v>1275000</v>
      </c>
      <c r="BO10" s="23">
        <f>(BN10-BJ10-BK10)/(BJ10+BL10*BK10)</f>
        <v>1.1904761904761904E-2</v>
      </c>
      <c r="BP10" s="3">
        <f t="shared" ref="BP10" si="43">BN10</f>
        <v>1275000</v>
      </c>
      <c r="BQ10" s="4"/>
      <c r="BR10" s="6"/>
      <c r="BS10" s="6">
        <f t="shared" si="4"/>
        <v>0.20465489566613163</v>
      </c>
      <c r="BT10" s="3">
        <v>1276000</v>
      </c>
      <c r="BU10" s="25">
        <f t="shared" ref="BU10" si="44">(BT10-BP10-BQ10)/(BP10+BR10*BQ10)</f>
        <v>7.8431372549019605E-4</v>
      </c>
      <c r="BW10" s="80" t="s">
        <v>4</v>
      </c>
      <c r="BX10" s="25">
        <f t="array" ref="BX10">PRODUCT(1+G11:BU11)-1</f>
        <v>5.0638687252047676E-2</v>
      </c>
    </row>
    <row r="11" spans="1:76" hidden="1" x14ac:dyDescent="0.25">
      <c r="A11" s="2"/>
      <c r="B11" s="19"/>
      <c r="C11" s="20"/>
      <c r="D11" s="20"/>
      <c r="E11" s="22">
        <f t="shared" si="5"/>
        <v>0</v>
      </c>
      <c r="F11" s="19"/>
      <c r="G11" s="32">
        <f>G10</f>
        <v>4.1666666666666666E-3</v>
      </c>
      <c r="H11" s="3"/>
      <c r="I11" s="4"/>
      <c r="J11" s="4"/>
      <c r="K11" s="6">
        <f t="shared" si="7"/>
        <v>0</v>
      </c>
      <c r="L11" s="3"/>
      <c r="M11" s="32">
        <f>M10</f>
        <v>8.2987551867219917E-3</v>
      </c>
      <c r="N11" s="19"/>
      <c r="O11" s="20"/>
      <c r="P11" s="20"/>
      <c r="Q11" s="22">
        <f t="shared" si="10"/>
        <v>0</v>
      </c>
      <c r="R11" s="19"/>
      <c r="S11" s="32">
        <f>S10</f>
        <v>-5.5423594615993249E-3</v>
      </c>
      <c r="T11" s="3"/>
      <c r="U11" s="4"/>
      <c r="V11" s="4"/>
      <c r="W11" s="6">
        <f t="shared" si="11"/>
        <v>0</v>
      </c>
      <c r="X11" s="3"/>
      <c r="Y11" s="32">
        <f>Y10</f>
        <v>-6.8412361405992394E-3</v>
      </c>
      <c r="Z11" s="19"/>
      <c r="AA11" s="20"/>
      <c r="AB11" s="20"/>
      <c r="AC11" s="6">
        <f t="shared" si="12"/>
        <v>0</v>
      </c>
      <c r="AD11" s="19"/>
      <c r="AE11" s="32">
        <f>AE10</f>
        <v>-4.1666666666666664E-2</v>
      </c>
      <c r="AF11" s="3"/>
      <c r="AG11" s="4"/>
      <c r="AH11" s="4"/>
      <c r="AI11" s="6">
        <f t="shared" si="13"/>
        <v>0</v>
      </c>
      <c r="AJ11" s="3"/>
      <c r="AK11" s="32">
        <f>AK10</f>
        <v>8.6956521739130436E-3</v>
      </c>
      <c r="AL11" s="19"/>
      <c r="AM11" s="20"/>
      <c r="AN11" s="20"/>
      <c r="AO11" s="6">
        <f t="shared" si="14"/>
        <v>0</v>
      </c>
      <c r="AP11" s="19"/>
      <c r="AQ11" s="32">
        <f>AQ10</f>
        <v>1.7241379310344827E-2</v>
      </c>
      <c r="AR11" s="3"/>
      <c r="AS11" s="4"/>
      <c r="AT11" s="4"/>
      <c r="AU11" s="6">
        <f t="shared" si="0"/>
        <v>0</v>
      </c>
      <c r="AV11" s="3"/>
      <c r="AW11" s="32">
        <f>AW10</f>
        <v>3.9830508474576268E-2</v>
      </c>
      <c r="AX11" s="19"/>
      <c r="AY11" s="20"/>
      <c r="AZ11" s="20"/>
      <c r="BA11" s="6">
        <f t="shared" si="1"/>
        <v>0</v>
      </c>
      <c r="BB11" s="19"/>
      <c r="BC11" s="32">
        <f>BC10</f>
        <v>1.0594947025264874E-2</v>
      </c>
      <c r="BD11" s="3"/>
      <c r="BE11" s="4"/>
      <c r="BF11" s="6"/>
      <c r="BG11" s="6">
        <f t="shared" si="2"/>
        <v>0</v>
      </c>
      <c r="BH11" s="3"/>
      <c r="BI11" s="32">
        <f>BI10</f>
        <v>3.9979365488779983E-3</v>
      </c>
      <c r="BJ11" s="19"/>
      <c r="BK11" s="20"/>
      <c r="BL11" s="20"/>
      <c r="BM11" s="6">
        <f t="shared" si="3"/>
        <v>0</v>
      </c>
      <c r="BN11" s="19"/>
      <c r="BO11" s="32">
        <f>BO10</f>
        <v>1.1904761904761904E-2</v>
      </c>
      <c r="BP11" s="3"/>
      <c r="BQ11" s="4"/>
      <c r="BR11" s="6"/>
      <c r="BS11" s="6">
        <f t="shared" si="4"/>
        <v>0</v>
      </c>
      <c r="BT11" s="3"/>
      <c r="BU11" s="32">
        <f>BU10</f>
        <v>7.8431372549019605E-4</v>
      </c>
      <c r="BW11" s="80"/>
      <c r="BX11" s="81"/>
    </row>
    <row r="12" spans="1:76" x14ac:dyDescent="0.25">
      <c r="A12" s="2" t="s">
        <v>5</v>
      </c>
      <c r="B12" s="19">
        <v>1210000</v>
      </c>
      <c r="C12" s="20"/>
      <c r="D12" s="20"/>
      <c r="E12" s="22">
        <f t="shared" si="5"/>
        <v>0.20410273152682556</v>
      </c>
      <c r="F12" s="19">
        <v>1217000</v>
      </c>
      <c r="G12" s="23">
        <f>(F12-B12-C12)/(B12+D12*C12)</f>
        <v>5.7851239669421484E-3</v>
      </c>
      <c r="H12" s="3">
        <f t="shared" ref="H12" si="45">F12</f>
        <v>1217000</v>
      </c>
      <c r="I12" s="4"/>
      <c r="J12" s="4"/>
      <c r="K12" s="6">
        <f t="shared" si="7"/>
        <v>0.19764973376796632</v>
      </c>
      <c r="L12" s="3">
        <v>1228000</v>
      </c>
      <c r="M12" s="25">
        <f t="shared" ref="M12" si="46">(L12-H12-I12)/(H12+J12*I12)</f>
        <v>9.0386195562859491E-3</v>
      </c>
      <c r="N12" s="19">
        <f t="shared" ref="N12" si="47">L12</f>
        <v>1228000</v>
      </c>
      <c r="O12" s="20"/>
      <c r="P12" s="20"/>
      <c r="Q12" s="22">
        <f t="shared" si="10"/>
        <v>0.19832041343669252</v>
      </c>
      <c r="R12" s="19">
        <v>1220000</v>
      </c>
      <c r="S12" s="23">
        <f>(R12-N12-O12)/(N12+P12*O12)</f>
        <v>-6.5146579804560263E-3</v>
      </c>
      <c r="T12" s="3">
        <f>R12</f>
        <v>1220000</v>
      </c>
      <c r="U12" s="4"/>
      <c r="V12" s="4"/>
      <c r="W12" s="6">
        <f t="shared" si="11"/>
        <v>0.19823647424531426</v>
      </c>
      <c r="X12" s="3">
        <v>1210000</v>
      </c>
      <c r="Y12" s="25">
        <f>(X12-T12-U12)/(T12+V12*U12)</f>
        <v>-8.1967213114754103E-3</v>
      </c>
      <c r="Z12" s="19">
        <f>X12</f>
        <v>1210000</v>
      </c>
      <c r="AA12" s="20"/>
      <c r="AB12" s="20"/>
      <c r="AC12" s="6">
        <f t="shared" si="12"/>
        <v>0.19836065573770492</v>
      </c>
      <c r="AD12" s="19">
        <v>1180000</v>
      </c>
      <c r="AE12" s="23">
        <f>(AD12-Z12-AA12)/(Z12+AB12*AA12)</f>
        <v>-2.4793388429752067E-2</v>
      </c>
      <c r="AF12" s="3">
        <f>AD12</f>
        <v>1180000</v>
      </c>
      <c r="AG12" s="4"/>
      <c r="AH12" s="4"/>
      <c r="AI12" s="6">
        <f t="shared" si="13"/>
        <v>0.19865319865319866</v>
      </c>
      <c r="AJ12" s="3">
        <v>1190000</v>
      </c>
      <c r="AK12" s="25">
        <f>(AJ12-AF12-AG12)/(AF12+AH12*AG12)</f>
        <v>8.4745762711864406E-3</v>
      </c>
      <c r="AL12" s="19">
        <f>AJ12</f>
        <v>1190000</v>
      </c>
      <c r="AM12" s="20"/>
      <c r="AN12" s="20"/>
      <c r="AO12" s="6">
        <f t="shared" si="14"/>
        <v>0.20047169811320756</v>
      </c>
      <c r="AP12" s="19">
        <v>1200000</v>
      </c>
      <c r="AQ12" s="23">
        <f>(AP12-AL12-AM12)/(AL12+AN12*AM12)</f>
        <v>8.4033613445378148E-3</v>
      </c>
      <c r="AR12" s="3">
        <f t="shared" ref="AR12" si="48">AP12</f>
        <v>1200000</v>
      </c>
      <c r="AS12" s="4"/>
      <c r="AT12" s="4"/>
      <c r="AU12" s="6">
        <f t="shared" si="0"/>
        <v>0.20053475935828877</v>
      </c>
      <c r="AV12" s="3">
        <v>1234000</v>
      </c>
      <c r="AW12" s="25">
        <f t="shared" ref="AW12" si="49">(AV12-AR12-AS12)/(AR12+AT12*AS12)</f>
        <v>2.8333333333333332E-2</v>
      </c>
      <c r="AX12" s="19">
        <f t="shared" ref="AX12" si="50">AV12</f>
        <v>1234000</v>
      </c>
      <c r="AY12" s="20"/>
      <c r="AZ12" s="20"/>
      <c r="BA12" s="6">
        <f t="shared" si="1"/>
        <v>0.20471134704711347</v>
      </c>
      <c r="BB12" s="19">
        <v>1239000</v>
      </c>
      <c r="BC12" s="23">
        <f>(BB12-AX12-AY12)/(AX12+AZ12*AY12)</f>
        <v>4.0518638573743921E-3</v>
      </c>
      <c r="BD12" s="3">
        <f t="shared" ref="BD12" si="51">BB12</f>
        <v>1239000</v>
      </c>
      <c r="BE12" s="4"/>
      <c r="BF12" s="4"/>
      <c r="BG12" s="6">
        <f t="shared" si="2"/>
        <v>0.20386185226663553</v>
      </c>
      <c r="BH12" s="3">
        <v>1250000</v>
      </c>
      <c r="BI12" s="25">
        <f t="shared" ref="BI12" si="52">(BH12-BD12-BE12)/(BD12+BF12*BE12)</f>
        <v>8.8781275221953195E-3</v>
      </c>
      <c r="BJ12" s="19">
        <f t="shared" ref="BJ12" si="53">BH12</f>
        <v>1250000</v>
      </c>
      <c r="BK12" s="20">
        <v>70000</v>
      </c>
      <c r="BL12" s="29">
        <f>(30-11+1)/30</f>
        <v>0.66666666666666663</v>
      </c>
      <c r="BM12" s="6">
        <f t="shared" si="3"/>
        <v>0.21044089802542601</v>
      </c>
      <c r="BN12" s="19">
        <v>1330000</v>
      </c>
      <c r="BO12" s="23">
        <f>(BN12-BJ12-BK12)/(BJ12+BL12*BK12)</f>
        <v>7.7120822622107968E-3</v>
      </c>
      <c r="BP12" s="3">
        <f t="shared" ref="BP12" si="54">BN12</f>
        <v>1330000</v>
      </c>
      <c r="BQ12" s="4"/>
      <c r="BR12" s="4"/>
      <c r="BS12" s="6">
        <f t="shared" si="4"/>
        <v>0.21348314606741572</v>
      </c>
      <c r="BT12" s="3">
        <v>1331000</v>
      </c>
      <c r="BU12" s="25">
        <f t="shared" ref="BU12" si="55">(BT12-BP12-BQ12)/(BP12+BR12*BQ12)</f>
        <v>7.5187969924812035E-4</v>
      </c>
      <c r="BW12" s="80" t="s">
        <v>5</v>
      </c>
      <c r="BX12" s="25">
        <f t="array" ref="BX12">PRODUCT(1+G13:BU13)-1</f>
        <v>4.1807603842511032E-2</v>
      </c>
    </row>
    <row r="13" spans="1:76" hidden="1" x14ac:dyDescent="0.25">
      <c r="A13" s="2"/>
      <c r="B13" s="19"/>
      <c r="C13" s="20"/>
      <c r="D13" s="20"/>
      <c r="E13" s="22"/>
      <c r="F13" s="19"/>
      <c r="G13" s="32">
        <f>G12</f>
        <v>5.7851239669421484E-3</v>
      </c>
      <c r="H13" s="3"/>
      <c r="I13" s="4"/>
      <c r="J13" s="4"/>
      <c r="K13" s="6"/>
      <c r="L13" s="3"/>
      <c r="M13" s="32">
        <f>M12</f>
        <v>9.0386195562859491E-3</v>
      </c>
      <c r="N13" s="19"/>
      <c r="O13" s="20"/>
      <c r="P13" s="20"/>
      <c r="Q13" s="22"/>
      <c r="R13" s="19"/>
      <c r="S13" s="32">
        <f>S12</f>
        <v>-6.5146579804560263E-3</v>
      </c>
      <c r="T13" s="3"/>
      <c r="U13" s="4"/>
      <c r="V13" s="4"/>
      <c r="W13" s="6"/>
      <c r="X13" s="3"/>
      <c r="Y13" s="32">
        <f>Y12</f>
        <v>-8.1967213114754103E-3</v>
      </c>
      <c r="Z13" s="19"/>
      <c r="AA13" s="20"/>
      <c r="AB13" s="20"/>
      <c r="AC13" s="6"/>
      <c r="AD13" s="19"/>
      <c r="AE13" s="32">
        <f>AE12</f>
        <v>-2.4793388429752067E-2</v>
      </c>
      <c r="AF13" s="3"/>
      <c r="AG13" s="4"/>
      <c r="AH13" s="4"/>
      <c r="AI13" s="6"/>
      <c r="AJ13" s="3"/>
      <c r="AK13" s="32">
        <f>AK12</f>
        <v>8.4745762711864406E-3</v>
      </c>
      <c r="AL13" s="19"/>
      <c r="AM13" s="20"/>
      <c r="AN13" s="20"/>
      <c r="AO13" s="6"/>
      <c r="AP13" s="19"/>
      <c r="AQ13" s="32">
        <f>AQ12</f>
        <v>8.4033613445378148E-3</v>
      </c>
      <c r="AR13" s="3"/>
      <c r="AS13" s="4"/>
      <c r="AT13" s="4"/>
      <c r="AU13" s="6"/>
      <c r="AV13" s="3"/>
      <c r="AW13" s="32">
        <f>AW12</f>
        <v>2.8333333333333332E-2</v>
      </c>
      <c r="AX13" s="19"/>
      <c r="AY13" s="20"/>
      <c r="AZ13" s="20"/>
      <c r="BA13" s="22"/>
      <c r="BB13" s="19"/>
      <c r="BC13" s="32">
        <f>BC12</f>
        <v>4.0518638573743921E-3</v>
      </c>
      <c r="BD13" s="3"/>
      <c r="BE13" s="4"/>
      <c r="BF13" s="4"/>
      <c r="BG13" s="6"/>
      <c r="BH13" s="3"/>
      <c r="BI13" s="32">
        <f>BI12</f>
        <v>8.8781275221953195E-3</v>
      </c>
      <c r="BJ13" s="19"/>
      <c r="BK13" s="20"/>
      <c r="BL13" s="29"/>
      <c r="BM13" s="22"/>
      <c r="BN13" s="19"/>
      <c r="BO13" s="32">
        <f>BO12</f>
        <v>7.7120822622107968E-3</v>
      </c>
      <c r="BP13" s="3"/>
      <c r="BQ13" s="4"/>
      <c r="BR13" s="4"/>
      <c r="BS13" s="6"/>
      <c r="BT13" s="3"/>
      <c r="BU13" s="32">
        <f>BU12</f>
        <v>7.5187969924812035E-4</v>
      </c>
      <c r="BW13" s="80"/>
      <c r="BX13" s="81"/>
    </row>
    <row r="14" spans="1:76" x14ac:dyDescent="0.25">
      <c r="A14" s="2" t="s">
        <v>60</v>
      </c>
      <c r="B14" s="19">
        <f>SUM(B4:B12)</f>
        <v>5830000</v>
      </c>
      <c r="C14" s="19">
        <f>C4*D4+C6*D6</f>
        <v>98387.096774193546</v>
      </c>
      <c r="D14" s="19"/>
      <c r="E14" s="24">
        <f>SUM(E4:E12)</f>
        <v>1</v>
      </c>
      <c r="F14" s="19">
        <f>SUM(F4:F12)</f>
        <v>6064500</v>
      </c>
      <c r="G14" s="23">
        <f>SUMPRODUCT(E4:E12,G4:G12)</f>
        <v>1.425345521819567E-2</v>
      </c>
      <c r="H14" s="3">
        <f>SUM(H4:H12)</f>
        <v>6064500</v>
      </c>
      <c r="I14" s="3">
        <f>PRODUCT(I8:J8)</f>
        <v>92857.142857142855</v>
      </c>
      <c r="J14" s="3"/>
      <c r="K14" s="7">
        <f>SUM(K4:K12)</f>
        <v>1</v>
      </c>
      <c r="L14" s="3">
        <f>SUM(L4:L12)</f>
        <v>6192000</v>
      </c>
      <c r="M14" s="9">
        <f>SUMPRODUCT(K4:K12,M4:M12)</f>
        <v>4.4662018723246287E-3</v>
      </c>
      <c r="N14" s="19">
        <f>SUM(N4:N12)</f>
        <v>6192000</v>
      </c>
      <c r="O14" s="19">
        <f>O4*P4+O6*P6</f>
        <v>0</v>
      </c>
      <c r="P14" s="19"/>
      <c r="Q14" s="24">
        <f>SUM(Q4:Q12)</f>
        <v>1</v>
      </c>
      <c r="R14" s="19">
        <f>SUM(R4:R12)</f>
        <v>6154266.0332541568</v>
      </c>
      <c r="S14" s="23">
        <f>SUMPRODUCT(Q4:Q12,S4:S12)</f>
        <v>-6.0939868775586534E-3</v>
      </c>
      <c r="T14" s="3">
        <f>SUM(T4:T12)</f>
        <v>6154266.0332541568</v>
      </c>
      <c r="U14" s="3">
        <f>U4*V4+U6*V6</f>
        <v>0</v>
      </c>
      <c r="V14" s="3"/>
      <c r="W14" s="7">
        <f>SUM(W4:W12)</f>
        <v>1</v>
      </c>
      <c r="X14" s="3">
        <f>SUM(X4:X12)</f>
        <v>6100000</v>
      </c>
      <c r="Y14" s="9">
        <f>SUMPRODUCT(W4:W12,Y4:Y12)</f>
        <v>-8.8176287734287092E-3</v>
      </c>
      <c r="Z14" s="19">
        <f>SUM(Z4:Z12)</f>
        <v>6100000</v>
      </c>
      <c r="AA14" s="19">
        <f>AA4*AB4+AA6*AB6</f>
        <v>0</v>
      </c>
      <c r="AB14" s="19"/>
      <c r="AC14" s="7">
        <f>SUM(AC4:AC12)</f>
        <v>1</v>
      </c>
      <c r="AD14" s="19">
        <f>SUM(AD4:AD12)</f>
        <v>5940000</v>
      </c>
      <c r="AE14" s="23">
        <f>SUMPRODUCT(AC4:AC12,AE4:AE12)</f>
        <v>-2.6229508196721311E-2</v>
      </c>
      <c r="AF14" s="3">
        <f>SUM(AF4:AF12)</f>
        <v>5940000</v>
      </c>
      <c r="AG14" s="3">
        <f>AG4*AH4+AG6*AH6</f>
        <v>0</v>
      </c>
      <c r="AH14" s="3"/>
      <c r="AI14" s="7">
        <f>SUM(AI4:AI12)</f>
        <v>0.99999999999999989</v>
      </c>
      <c r="AJ14" s="3">
        <f>SUM(AJ4:AJ12)</f>
        <v>5936000</v>
      </c>
      <c r="AK14" s="9">
        <f>SUMPRODUCT(AI4:AI12,AK4:AK12)</f>
        <v>-6.7340067340067311E-4</v>
      </c>
      <c r="AL14" s="19">
        <f>SUM(AL4:AL12)</f>
        <v>5936000</v>
      </c>
      <c r="AM14" s="19">
        <f>AM4*AN4+AM6*AN6</f>
        <v>0</v>
      </c>
      <c r="AN14" s="19"/>
      <c r="AO14" s="7">
        <f>SUM(AO4:AO12)</f>
        <v>1</v>
      </c>
      <c r="AP14" s="19">
        <f>SUM(AP4:AP12)</f>
        <v>5984000</v>
      </c>
      <c r="AQ14" s="23">
        <f>SUMPRODUCT(AO4:AO12,AQ4:AQ12)</f>
        <v>8.0862533692722376E-3</v>
      </c>
      <c r="AR14" s="3">
        <f>SUM(AR4:AR12)</f>
        <v>5984000</v>
      </c>
      <c r="AS14" s="3">
        <f>AS4*AT4+AS6*AT6</f>
        <v>0</v>
      </c>
      <c r="AT14" s="3"/>
      <c r="AU14" s="7">
        <f>SUM(AU4:AU12)</f>
        <v>1</v>
      </c>
      <c r="AV14" s="3">
        <f>SUM(AV4:AV12)</f>
        <v>6028000</v>
      </c>
      <c r="AW14" s="9">
        <f>SUMPRODUCT(AU4:AU12,AW4:AW12)</f>
        <v>7.3529411764705873E-3</v>
      </c>
      <c r="AX14" s="19">
        <f>SUM(AX4:AX12)</f>
        <v>6028000</v>
      </c>
      <c r="AY14" s="19">
        <f>AY4*AZ4+AY6*AZ6</f>
        <v>0</v>
      </c>
      <c r="AZ14" s="19"/>
      <c r="BA14" s="24">
        <f>SUM(BA4:BA12)</f>
        <v>1</v>
      </c>
      <c r="BB14" s="19">
        <f>SUM(BB4:BB12)</f>
        <v>6067000</v>
      </c>
      <c r="BC14" s="23">
        <f>SUMPRODUCT(BA4:BA12,BC4:BC12)</f>
        <v>6.4698075646980758E-3</v>
      </c>
      <c r="BD14" s="3">
        <f>SUM(BD4:BD12)</f>
        <v>6067000</v>
      </c>
      <c r="BE14" s="3">
        <f>BE10*BF10</f>
        <v>10645.161290322581</v>
      </c>
      <c r="BF14" s="3"/>
      <c r="BG14" s="7">
        <f>SUM(BG4:BG12)</f>
        <v>1</v>
      </c>
      <c r="BH14" s="3">
        <f>SUM(BH4:BH12)</f>
        <v>6115000</v>
      </c>
      <c r="BI14" s="9">
        <f>SUMPRODUCT(BG4:BG12,BI4:BI12)</f>
        <v>5.4297345640023989E-3</v>
      </c>
      <c r="BJ14" s="19">
        <f>SUM(BJ4:BJ12)</f>
        <v>6115000</v>
      </c>
      <c r="BK14" s="19">
        <f>BK12*BL12</f>
        <v>46666.666666666664</v>
      </c>
      <c r="BL14" s="19"/>
      <c r="BM14" s="24">
        <f>SUM(BM4:BM12)</f>
        <v>0.99999999999999989</v>
      </c>
      <c r="BN14" s="19">
        <f>SUM(BN4:BN12)</f>
        <v>6230000</v>
      </c>
      <c r="BO14" s="23">
        <f>SUMPRODUCT(BM4:BM12,BO4:BO12)</f>
        <v>7.3032188260751954E-3</v>
      </c>
      <c r="BP14" s="3">
        <f>SUM(BP4:BP12)</f>
        <v>6230000</v>
      </c>
      <c r="BQ14" s="3">
        <f>BQ4*BR4+BQ6*BR6</f>
        <v>0</v>
      </c>
      <c r="BR14" s="3"/>
      <c r="BS14" s="7">
        <f>SUM(BS4:BS12)</f>
        <v>0.99999999999999989</v>
      </c>
      <c r="BT14" s="3">
        <f>SUM(BT4:BT12)</f>
        <v>6245000</v>
      </c>
      <c r="BU14" s="9">
        <f>SUMPRODUCT(BS4:BS12,BU4:BU12)</f>
        <v>2.4077046548956664E-3</v>
      </c>
      <c r="BW14" s="80" t="s">
        <v>60</v>
      </c>
      <c r="BX14" s="25">
        <f t="array" ref="BX14">PRODUCT(1+G15:BU15)-1</f>
        <v>1.3400733004037768E-2</v>
      </c>
    </row>
    <row r="15" spans="1:76" s="27" customFormat="1" hidden="1" x14ac:dyDescent="0.25">
      <c r="A15" s="26"/>
      <c r="G15" s="28">
        <f>G14</f>
        <v>1.425345521819567E-2</v>
      </c>
      <c r="M15" s="28">
        <f>M14</f>
        <v>4.4662018723246287E-3</v>
      </c>
      <c r="S15" s="28">
        <f>S14</f>
        <v>-6.0939868775586534E-3</v>
      </c>
      <c r="Y15" s="28">
        <f>Y14</f>
        <v>-8.8176287734287092E-3</v>
      </c>
      <c r="AE15" s="28">
        <f>AE14</f>
        <v>-2.6229508196721311E-2</v>
      </c>
      <c r="AK15" s="28">
        <f>AK14</f>
        <v>-6.7340067340067311E-4</v>
      </c>
      <c r="AQ15" s="28">
        <f>AQ14</f>
        <v>8.0862533692722376E-3</v>
      </c>
      <c r="AW15" s="28">
        <f>AW14</f>
        <v>7.3529411764705873E-3</v>
      </c>
      <c r="BC15" s="28">
        <f>BC14</f>
        <v>6.4698075646980758E-3</v>
      </c>
      <c r="BI15" s="28">
        <f>BI14</f>
        <v>5.4297345640023989E-3</v>
      </c>
      <c r="BO15" s="28">
        <f>BO14</f>
        <v>7.3032188260751954E-3</v>
      </c>
      <c r="BU15" s="28">
        <f>BU14</f>
        <v>2.4077046548956664E-3</v>
      </c>
      <c r="BV15" s="33"/>
    </row>
    <row r="17" spans="1:73" x14ac:dyDescent="0.25">
      <c r="B17" s="72" t="s">
        <v>37</v>
      </c>
      <c r="C17" s="72"/>
      <c r="D17" s="72"/>
      <c r="E17" s="72"/>
      <c r="F17" s="72"/>
      <c r="G17" s="72"/>
      <c r="H17" s="73" t="s">
        <v>43</v>
      </c>
      <c r="I17" s="73"/>
      <c r="J17" s="73"/>
      <c r="K17" s="73"/>
      <c r="L17" s="73"/>
      <c r="M17" s="73"/>
      <c r="N17" s="72" t="s">
        <v>44</v>
      </c>
      <c r="O17" s="72"/>
      <c r="P17" s="72"/>
      <c r="Q17" s="72"/>
      <c r="R17" s="72"/>
      <c r="S17" s="72"/>
      <c r="T17" s="71" t="s">
        <v>46</v>
      </c>
      <c r="U17" s="71"/>
      <c r="V17" s="71"/>
      <c r="W17" s="71"/>
      <c r="X17" s="71"/>
      <c r="Y17" s="71"/>
      <c r="Z17" s="74" t="s">
        <v>48</v>
      </c>
      <c r="AA17" s="74"/>
      <c r="AB17" s="74"/>
      <c r="AC17" s="74"/>
      <c r="AD17" s="74"/>
      <c r="AE17" s="74"/>
      <c r="AF17" s="71" t="s">
        <v>47</v>
      </c>
      <c r="AG17" s="71"/>
      <c r="AH17" s="71"/>
      <c r="AI17" s="71"/>
      <c r="AJ17" s="71"/>
      <c r="AK17" s="71"/>
      <c r="AL17" s="74" t="s">
        <v>49</v>
      </c>
      <c r="AM17" s="74"/>
      <c r="AN17" s="74"/>
      <c r="AO17" s="74"/>
      <c r="AP17" s="74"/>
      <c r="AQ17" s="74"/>
      <c r="AR17" s="71" t="s">
        <v>50</v>
      </c>
      <c r="AS17" s="71"/>
      <c r="AT17" s="71"/>
      <c r="AU17" s="71"/>
      <c r="AV17" s="71"/>
      <c r="AW17" s="71"/>
      <c r="AX17" s="74" t="s">
        <v>51</v>
      </c>
      <c r="AY17" s="74"/>
      <c r="AZ17" s="74"/>
      <c r="BA17" s="74"/>
      <c r="BB17" s="74"/>
      <c r="BC17" s="74"/>
      <c r="BD17" s="71" t="s">
        <v>52</v>
      </c>
      <c r="BE17" s="71"/>
      <c r="BF17" s="71"/>
      <c r="BG17" s="71"/>
      <c r="BH17" s="71"/>
      <c r="BI17" s="71"/>
      <c r="BJ17" s="74" t="s">
        <v>53</v>
      </c>
      <c r="BK17" s="74"/>
      <c r="BL17" s="74"/>
      <c r="BM17" s="74"/>
      <c r="BN17" s="74"/>
      <c r="BO17" s="74"/>
      <c r="BP17" s="71" t="s">
        <v>54</v>
      </c>
      <c r="BQ17" s="71"/>
      <c r="BR17" s="71"/>
      <c r="BS17" s="71"/>
      <c r="BT17" s="71"/>
      <c r="BU17" s="71"/>
    </row>
    <row r="18" spans="1:73" ht="30" x14ac:dyDescent="0.25">
      <c r="B18" s="56" t="s">
        <v>59</v>
      </c>
      <c r="C18" s="57" t="s">
        <v>39</v>
      </c>
      <c r="D18" s="57" t="s">
        <v>62</v>
      </c>
      <c r="E18" s="57" t="s">
        <v>41</v>
      </c>
      <c r="F18" s="56" t="s">
        <v>61</v>
      </c>
      <c r="G18" s="56" t="s">
        <v>42</v>
      </c>
      <c r="H18" s="37" t="s">
        <v>59</v>
      </c>
      <c r="I18" s="38" t="s">
        <v>39</v>
      </c>
      <c r="J18" s="38" t="s">
        <v>62</v>
      </c>
      <c r="K18" s="38" t="s">
        <v>41</v>
      </c>
      <c r="L18" s="37" t="s">
        <v>61</v>
      </c>
      <c r="M18" s="37" t="s">
        <v>42</v>
      </c>
      <c r="N18" s="56" t="s">
        <v>59</v>
      </c>
      <c r="O18" s="57" t="s">
        <v>39</v>
      </c>
      <c r="P18" s="57" t="s">
        <v>62</v>
      </c>
      <c r="Q18" s="57" t="s">
        <v>41</v>
      </c>
      <c r="R18" s="56" t="s">
        <v>61</v>
      </c>
      <c r="S18" s="56" t="s">
        <v>42</v>
      </c>
      <c r="T18" s="15" t="s">
        <v>38</v>
      </c>
      <c r="U18" s="16" t="s">
        <v>39</v>
      </c>
      <c r="V18" s="16" t="s">
        <v>40</v>
      </c>
      <c r="W18" s="16" t="s">
        <v>41</v>
      </c>
      <c r="X18" s="15" t="s">
        <v>45</v>
      </c>
      <c r="Y18" s="15" t="s">
        <v>42</v>
      </c>
      <c r="Z18" s="17" t="s">
        <v>38</v>
      </c>
      <c r="AA18" s="18" t="s">
        <v>39</v>
      </c>
      <c r="AB18" s="18" t="s">
        <v>40</v>
      </c>
      <c r="AC18" s="18" t="s">
        <v>41</v>
      </c>
      <c r="AD18" s="17" t="s">
        <v>45</v>
      </c>
      <c r="AE18" s="17" t="s">
        <v>42</v>
      </c>
      <c r="AF18" s="15" t="s">
        <v>38</v>
      </c>
      <c r="AG18" s="16" t="s">
        <v>39</v>
      </c>
      <c r="AH18" s="16" t="s">
        <v>40</v>
      </c>
      <c r="AI18" s="16" t="s">
        <v>41</v>
      </c>
      <c r="AJ18" s="15" t="s">
        <v>45</v>
      </c>
      <c r="AK18" s="15" t="s">
        <v>42</v>
      </c>
      <c r="AL18" s="17" t="s">
        <v>38</v>
      </c>
      <c r="AM18" s="18" t="s">
        <v>39</v>
      </c>
      <c r="AN18" s="18" t="s">
        <v>40</v>
      </c>
      <c r="AO18" s="18" t="s">
        <v>41</v>
      </c>
      <c r="AP18" s="17" t="s">
        <v>45</v>
      </c>
      <c r="AQ18" s="17" t="s">
        <v>42</v>
      </c>
      <c r="AR18" s="15" t="s">
        <v>38</v>
      </c>
      <c r="AS18" s="16" t="s">
        <v>39</v>
      </c>
      <c r="AT18" s="16" t="s">
        <v>40</v>
      </c>
      <c r="AU18" s="16" t="s">
        <v>41</v>
      </c>
      <c r="AV18" s="15" t="s">
        <v>45</v>
      </c>
      <c r="AW18" s="15" t="s">
        <v>42</v>
      </c>
      <c r="AX18" s="17" t="s">
        <v>38</v>
      </c>
      <c r="AY18" s="18" t="s">
        <v>39</v>
      </c>
      <c r="AZ18" s="18" t="s">
        <v>40</v>
      </c>
      <c r="BA18" s="18" t="s">
        <v>41</v>
      </c>
      <c r="BB18" s="17" t="s">
        <v>45</v>
      </c>
      <c r="BC18" s="17" t="s">
        <v>42</v>
      </c>
      <c r="BD18" s="15" t="s">
        <v>38</v>
      </c>
      <c r="BE18" s="16" t="s">
        <v>39</v>
      </c>
      <c r="BF18" s="16" t="s">
        <v>40</v>
      </c>
      <c r="BG18" s="16" t="s">
        <v>41</v>
      </c>
      <c r="BH18" s="15" t="s">
        <v>45</v>
      </c>
      <c r="BI18" s="15" t="s">
        <v>42</v>
      </c>
      <c r="BJ18" s="17" t="s">
        <v>38</v>
      </c>
      <c r="BK18" s="18" t="s">
        <v>39</v>
      </c>
      <c r="BL18" s="18" t="s">
        <v>40</v>
      </c>
      <c r="BM18" s="18" t="s">
        <v>41</v>
      </c>
      <c r="BN18" s="17" t="s">
        <v>45</v>
      </c>
      <c r="BO18" s="17" t="s">
        <v>42</v>
      </c>
      <c r="BP18" s="15" t="s">
        <v>38</v>
      </c>
      <c r="BQ18" s="16" t="s">
        <v>39</v>
      </c>
      <c r="BR18" s="16" t="s">
        <v>40</v>
      </c>
      <c r="BS18" s="16" t="s">
        <v>41</v>
      </c>
      <c r="BT18" s="15" t="s">
        <v>45</v>
      </c>
      <c r="BU18" s="15" t="s">
        <v>42</v>
      </c>
    </row>
    <row r="19" spans="1:73" x14ac:dyDescent="0.25">
      <c r="A19" t="s">
        <v>87</v>
      </c>
      <c r="B19" s="60">
        <v>5830000</v>
      </c>
      <c r="C19" s="20">
        <v>50000</v>
      </c>
      <c r="D19" s="21">
        <f>(31-5+1)/31</f>
        <v>0.87096774193548387</v>
      </c>
      <c r="F19" s="60">
        <v>6064500</v>
      </c>
      <c r="G19" s="64">
        <f>(F19-B19-SUM(C19:C20))/(B19+SUMPRODUCT(C19:C20,D19:D20))</f>
        <v>1.425345521819567E-2</v>
      </c>
      <c r="H19" s="60">
        <v>6064500</v>
      </c>
      <c r="I19" s="4">
        <v>100000</v>
      </c>
      <c r="J19" s="58">
        <f>(28-2)/28</f>
        <v>0.9285714285714286</v>
      </c>
      <c r="L19" s="3">
        <v>6192000</v>
      </c>
      <c r="M19" s="64">
        <f>(L19-H19-I19)/(H19+J19*I19)</f>
        <v>4.4662018723246296E-3</v>
      </c>
      <c r="N19" s="60">
        <v>6192000</v>
      </c>
      <c r="R19" s="60">
        <v>6154266.0332541568</v>
      </c>
      <c r="S19" s="64">
        <f>R19/N19-1</f>
        <v>-6.0939868775586881E-3</v>
      </c>
      <c r="T19" s="60">
        <v>6154266.0332541568</v>
      </c>
      <c r="X19" s="60">
        <v>6100000</v>
      </c>
      <c r="Y19" s="64">
        <f>X19/T19-1</f>
        <v>-8.8176287734287317E-3</v>
      </c>
      <c r="Z19" s="60">
        <v>6100000</v>
      </c>
      <c r="AD19" s="60">
        <v>5940000</v>
      </c>
      <c r="AE19" s="64">
        <f>AD19/Z19-1</f>
        <v>-2.6229508196721318E-2</v>
      </c>
      <c r="AF19" s="60">
        <v>5940000</v>
      </c>
      <c r="AG19" s="60">
        <v>0</v>
      </c>
      <c r="AH19" s="60"/>
      <c r="AI19" s="61"/>
      <c r="AJ19" s="60">
        <v>5936000</v>
      </c>
      <c r="AK19" s="64">
        <f>AJ19/AF19-1</f>
        <v>-6.7340067340071474E-4</v>
      </c>
      <c r="AL19" s="60">
        <v>5936000</v>
      </c>
      <c r="AM19" s="60">
        <v>0</v>
      </c>
      <c r="AN19" s="60"/>
      <c r="AO19" s="61"/>
      <c r="AP19" s="60">
        <v>5984000</v>
      </c>
      <c r="AQ19" s="64">
        <f>AP19/AL19-1</f>
        <v>8.0862533692722671E-3</v>
      </c>
      <c r="AR19" s="60">
        <v>5984000</v>
      </c>
      <c r="AS19" s="60">
        <v>0</v>
      </c>
      <c r="AT19" s="60"/>
      <c r="AU19" s="61"/>
      <c r="AV19" s="60">
        <v>6028000</v>
      </c>
      <c r="AW19" s="64">
        <f>AV19/AR19-1</f>
        <v>7.3529411764705621E-3</v>
      </c>
      <c r="AX19" s="60">
        <v>6028000</v>
      </c>
      <c r="AY19" s="60">
        <v>0</v>
      </c>
      <c r="AZ19" s="60"/>
      <c r="BA19" s="61"/>
      <c r="BB19" s="60">
        <v>6067000</v>
      </c>
      <c r="BC19" s="64">
        <f>BB19/AX19-1</f>
        <v>6.4698075646980602E-3</v>
      </c>
      <c r="BD19" s="60">
        <v>6067000</v>
      </c>
      <c r="BE19" s="4">
        <v>15000</v>
      </c>
      <c r="BF19" s="6">
        <f>(31-10+1)/31</f>
        <v>0.70967741935483875</v>
      </c>
      <c r="BG19" s="61"/>
      <c r="BH19" s="60">
        <v>6115000</v>
      </c>
      <c r="BI19" s="64">
        <f>(BH19-BD19-BE19)/(BD19+BF19*BE19)</f>
        <v>5.4297345640023989E-3</v>
      </c>
      <c r="BJ19" s="60">
        <v>6115000</v>
      </c>
      <c r="BK19" s="20">
        <v>70000</v>
      </c>
      <c r="BL19" s="29">
        <f>(30-11+1)/30</f>
        <v>0.66666666666666663</v>
      </c>
      <c r="BM19" s="61"/>
      <c r="BN19" s="60">
        <v>6230000</v>
      </c>
      <c r="BO19" s="64">
        <f>(BN19-BJ19-BK19)/(BJ19+BL19*BK19)</f>
        <v>7.3032188260751954E-3</v>
      </c>
      <c r="BP19" s="60">
        <v>6230000</v>
      </c>
      <c r="BQ19" s="60">
        <v>0</v>
      </c>
      <c r="BR19" s="60"/>
      <c r="BS19" s="61"/>
      <c r="BT19" s="60">
        <v>6245000</v>
      </c>
      <c r="BU19" s="64">
        <f>BT19/BP19-1</f>
        <v>2.4077046548955927E-3</v>
      </c>
    </row>
    <row r="20" spans="1:73" x14ac:dyDescent="0.25">
      <c r="C20" s="20">
        <v>100000</v>
      </c>
      <c r="D20" s="21">
        <f>(31-15+1)/31</f>
        <v>0.54838709677419351</v>
      </c>
    </row>
    <row r="22" spans="1:73" x14ac:dyDescent="0.25">
      <c r="F22" s="71" t="s">
        <v>89</v>
      </c>
      <c r="G22" s="71"/>
    </row>
    <row r="23" spans="1:73" x14ac:dyDescent="0.25">
      <c r="F23" s="2" t="s">
        <v>37</v>
      </c>
      <c r="G23" s="11">
        <f>G19</f>
        <v>1.425345521819567E-2</v>
      </c>
    </row>
    <row r="24" spans="1:73" x14ac:dyDescent="0.25">
      <c r="F24" s="2" t="s">
        <v>43</v>
      </c>
      <c r="G24" s="11">
        <f>M19</f>
        <v>4.4662018723246296E-3</v>
      </c>
    </row>
    <row r="25" spans="1:73" x14ac:dyDescent="0.25">
      <c r="F25" s="2" t="s">
        <v>44</v>
      </c>
      <c r="G25" s="11">
        <f>S19</f>
        <v>-6.0939868775586881E-3</v>
      </c>
    </row>
    <row r="26" spans="1:73" x14ac:dyDescent="0.25">
      <c r="F26" s="2" t="s">
        <v>46</v>
      </c>
      <c r="G26" s="11">
        <f>Y19</f>
        <v>-8.8176287734287317E-3</v>
      </c>
    </row>
    <row r="27" spans="1:73" x14ac:dyDescent="0.25">
      <c r="F27" s="2" t="s">
        <v>48</v>
      </c>
      <c r="G27" s="11">
        <f>AE19</f>
        <v>-2.6229508196721318E-2</v>
      </c>
    </row>
    <row r="28" spans="1:73" x14ac:dyDescent="0.25">
      <c r="F28" s="2" t="s">
        <v>47</v>
      </c>
      <c r="G28" s="11">
        <f>AK19</f>
        <v>-6.7340067340071474E-4</v>
      </c>
    </row>
    <row r="29" spans="1:73" x14ac:dyDescent="0.25">
      <c r="F29" s="2" t="s">
        <v>49</v>
      </c>
      <c r="G29" s="11">
        <f>AQ19</f>
        <v>8.0862533692722671E-3</v>
      </c>
    </row>
    <row r="30" spans="1:73" x14ac:dyDescent="0.25">
      <c r="F30" s="2" t="s">
        <v>50</v>
      </c>
      <c r="G30" s="11">
        <f>AW19</f>
        <v>7.3529411764705621E-3</v>
      </c>
    </row>
    <row r="31" spans="1:73" x14ac:dyDescent="0.25">
      <c r="F31" s="2" t="s">
        <v>51</v>
      </c>
      <c r="G31" s="11">
        <f>BC19</f>
        <v>6.4698075646980602E-3</v>
      </c>
    </row>
    <row r="32" spans="1:73" x14ac:dyDescent="0.25">
      <c r="F32" s="2" t="s">
        <v>52</v>
      </c>
      <c r="G32" s="11">
        <f>BI19</f>
        <v>5.4297345640023989E-3</v>
      </c>
    </row>
    <row r="33" spans="6:7" x14ac:dyDescent="0.25">
      <c r="F33" s="2" t="s">
        <v>53</v>
      </c>
      <c r="G33" s="11">
        <f>BO19</f>
        <v>7.3032188260751954E-3</v>
      </c>
    </row>
    <row r="34" spans="6:7" x14ac:dyDescent="0.25">
      <c r="F34" s="2" t="s">
        <v>54</v>
      </c>
      <c r="G34" s="11">
        <f>BU19</f>
        <v>2.4077046548955927E-3</v>
      </c>
    </row>
    <row r="35" spans="6:7" x14ac:dyDescent="0.25">
      <c r="F35" s="2" t="s">
        <v>88</v>
      </c>
      <c r="G35" s="9">
        <f t="array" ref="G35">PRODUCT(1+G23:G34)-1</f>
        <v>1.3400733004037768E-2</v>
      </c>
    </row>
  </sheetData>
  <mergeCells count="25">
    <mergeCell ref="BP2:BU2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J2:BO2"/>
    <mergeCell ref="BD17:BI17"/>
    <mergeCell ref="BJ17:BO17"/>
    <mergeCell ref="BP17:BU17"/>
    <mergeCell ref="F22:G22"/>
    <mergeCell ref="T17:Y17"/>
    <mergeCell ref="Z17:AE17"/>
    <mergeCell ref="AF17:AK17"/>
    <mergeCell ref="AL17:AQ17"/>
    <mergeCell ref="AR17:AW17"/>
    <mergeCell ref="AX17:BC17"/>
    <mergeCell ref="B17:G17"/>
    <mergeCell ref="H17:M17"/>
    <mergeCell ref="N17:S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5D3E-6E3F-48B2-A904-5C6C761A0A37}">
  <dimension ref="B1:M33"/>
  <sheetViews>
    <sheetView topLeftCell="B4" zoomScale="190" zoomScaleNormal="190" workbookViewId="0">
      <selection activeCell="O15" sqref="O15"/>
    </sheetView>
  </sheetViews>
  <sheetFormatPr defaultRowHeight="15" x14ac:dyDescent="0.25"/>
  <cols>
    <col min="1" max="1" width="0" hidden="1" customWidth="1"/>
    <col min="2" max="2" width="10" bestFit="1" customWidth="1"/>
    <col min="3" max="3" width="11" bestFit="1" customWidth="1"/>
    <col min="4" max="4" width="14" style="1" bestFit="1" customWidth="1"/>
    <col min="5" max="5" width="14" style="1" customWidth="1"/>
    <col min="8" max="8" width="0" hidden="1" customWidth="1"/>
    <col min="9" max="9" width="13.42578125" bestFit="1" customWidth="1"/>
    <col min="10" max="10" width="11" bestFit="1" customWidth="1"/>
    <col min="11" max="11" width="11.28515625" bestFit="1" customWidth="1"/>
    <col min="12" max="12" width="11.5703125" style="1" bestFit="1" customWidth="1"/>
  </cols>
  <sheetData>
    <row r="1" spans="2:13" ht="18" x14ac:dyDescent="0.35">
      <c r="I1" s="80"/>
      <c r="J1" s="87" t="s">
        <v>19</v>
      </c>
      <c r="K1" s="87" t="s">
        <v>59</v>
      </c>
      <c r="L1" s="88" t="s">
        <v>33</v>
      </c>
      <c r="M1" s="87" t="s">
        <v>34</v>
      </c>
    </row>
    <row r="2" spans="2:13" x14ac:dyDescent="0.25">
      <c r="B2" s="82" t="s">
        <v>8</v>
      </c>
      <c r="C2" s="83"/>
      <c r="D2" s="84"/>
      <c r="E2" s="85" t="s">
        <v>18</v>
      </c>
      <c r="F2" s="85"/>
      <c r="I2" s="80" t="s">
        <v>7</v>
      </c>
      <c r="J2" s="92">
        <f>C10</f>
        <v>4.1441115567760214E-2</v>
      </c>
      <c r="K2" s="93">
        <f>D4*-1</f>
        <v>1000000</v>
      </c>
      <c r="L2" s="30">
        <f>SUMPRODUCT(F5:F7,E5:E7)</f>
        <v>211232.87671232878</v>
      </c>
      <c r="M2" s="90">
        <f>SUM(K2:L2)/SUM($K$5:$L$5)</f>
        <v>0.27096517168993151</v>
      </c>
    </row>
    <row r="3" spans="2:13" x14ac:dyDescent="0.25">
      <c r="B3" s="86"/>
      <c r="C3" s="87" t="s">
        <v>14</v>
      </c>
      <c r="D3" s="88" t="s">
        <v>17</v>
      </c>
      <c r="E3" s="88" t="s">
        <v>17</v>
      </c>
      <c r="F3" s="87" t="s">
        <v>15</v>
      </c>
      <c r="I3" s="80" t="s">
        <v>30</v>
      </c>
      <c r="J3" s="92">
        <f>C20</f>
        <v>4.5367703503608421E-2</v>
      </c>
      <c r="K3" s="93">
        <f>D14*-1</f>
        <v>1500000</v>
      </c>
      <c r="L3" s="30">
        <f>SUMPRODUCT(F15:F17,E15:E17)</f>
        <v>157739.72602739726</v>
      </c>
      <c r="M3" s="90">
        <f>SUM(K3:L3)/SUM($K$5:$L$5)</f>
        <v>0.37085331658060461</v>
      </c>
    </row>
    <row r="4" spans="2:13" x14ac:dyDescent="0.25">
      <c r="B4" s="80" t="s">
        <v>9</v>
      </c>
      <c r="C4" s="89">
        <v>44927</v>
      </c>
      <c r="D4" s="30">
        <v>-1000000</v>
      </c>
      <c r="E4" s="30">
        <f>-1*D4</f>
        <v>1000000</v>
      </c>
      <c r="F4" s="80"/>
      <c r="I4" s="80" t="s">
        <v>31</v>
      </c>
      <c r="J4" s="92">
        <f>C30</f>
        <v>5.1578104304187855E-2</v>
      </c>
      <c r="K4" s="80">
        <v>0</v>
      </c>
      <c r="L4" s="30">
        <f>SUMPRODUCT(G24:G27,E24:E27)</f>
        <v>1601095.890410959</v>
      </c>
      <c r="M4" s="90">
        <f>SUM(K4:L4)/SUM($K$5:$L$5)</f>
        <v>0.35818151172946389</v>
      </c>
    </row>
    <row r="5" spans="2:13" x14ac:dyDescent="0.25">
      <c r="B5" s="80" t="s">
        <v>11</v>
      </c>
      <c r="C5" s="89">
        <v>45000</v>
      </c>
      <c r="D5" s="30">
        <v>-100000</v>
      </c>
      <c r="E5" s="30">
        <f>-1*D5</f>
        <v>100000</v>
      </c>
      <c r="F5" s="90">
        <f>(365-(C5-$C$4+1))/365</f>
        <v>0.79726027397260268</v>
      </c>
      <c r="I5" s="80" t="s">
        <v>35</v>
      </c>
      <c r="J5" s="25">
        <f>SUMPRODUCT(J2:J4,M2:M4)</f>
        <v>4.6528185676613112E-2</v>
      </c>
      <c r="K5" s="30">
        <f>SUM(K2:K4)</f>
        <v>2500000</v>
      </c>
      <c r="L5" s="30">
        <f>SUM(L2:L4)</f>
        <v>1970068.493150685</v>
      </c>
      <c r="M5" s="94">
        <f>SUM(M2:M4)</f>
        <v>1</v>
      </c>
    </row>
    <row r="6" spans="2:13" x14ac:dyDescent="0.25">
      <c r="B6" s="80" t="s">
        <v>12</v>
      </c>
      <c r="C6" s="89">
        <v>45107</v>
      </c>
      <c r="D6" s="30">
        <v>-150000</v>
      </c>
      <c r="E6" s="30">
        <f>-1*D6</f>
        <v>150000</v>
      </c>
      <c r="F6" s="90">
        <f>(365-(C6-$C$4+1))/365</f>
        <v>0.50410958904109593</v>
      </c>
      <c r="I6" s="71"/>
      <c r="J6" s="71"/>
      <c r="K6" s="71"/>
      <c r="L6" s="71"/>
      <c r="M6" s="71"/>
    </row>
    <row r="7" spans="2:13" x14ac:dyDescent="0.25">
      <c r="B7" s="80" t="s">
        <v>13</v>
      </c>
      <c r="C7" s="89">
        <v>45189</v>
      </c>
      <c r="D7" s="30">
        <v>-200000</v>
      </c>
      <c r="E7" s="30">
        <f>-1*D7</f>
        <v>200000</v>
      </c>
      <c r="F7" s="90">
        <f>(365-(C7-$C$4+1))/365</f>
        <v>0.27945205479452057</v>
      </c>
      <c r="I7" s="95" t="s">
        <v>22</v>
      </c>
      <c r="J7" s="96"/>
      <c r="K7" s="97"/>
      <c r="L7" s="85" t="s">
        <v>18</v>
      </c>
      <c r="M7" s="85"/>
    </row>
    <row r="8" spans="2:13" x14ac:dyDescent="0.25">
      <c r="B8" s="80" t="s">
        <v>10</v>
      </c>
      <c r="C8" s="89">
        <v>45291</v>
      </c>
      <c r="D8" s="30">
        <v>1500000</v>
      </c>
      <c r="E8" s="30">
        <f>D8</f>
        <v>1500000</v>
      </c>
      <c r="F8" s="80"/>
      <c r="I8" s="86"/>
      <c r="J8" s="87" t="s">
        <v>14</v>
      </c>
      <c r="K8" s="88" t="s">
        <v>17</v>
      </c>
      <c r="L8" s="88" t="s">
        <v>17</v>
      </c>
      <c r="M8" s="87" t="s">
        <v>15</v>
      </c>
    </row>
    <row r="9" spans="2:13" x14ac:dyDescent="0.25">
      <c r="B9" s="80" t="s">
        <v>16</v>
      </c>
      <c r="C9" s="25">
        <f>(E8-E4-SUM(E5:E7))/(E4+SUMPRODUCT(E5:E7,F5:F7))</f>
        <v>4.1280253336349243E-2</v>
      </c>
      <c r="D9" s="30"/>
      <c r="E9" s="30"/>
      <c r="F9" s="80"/>
      <c r="I9" s="80" t="s">
        <v>9</v>
      </c>
      <c r="J9" s="89">
        <v>44927</v>
      </c>
      <c r="K9" s="30">
        <f>D14+D4</f>
        <v>-2500000</v>
      </c>
      <c r="L9" s="30">
        <f>-1*K9</f>
        <v>2500000</v>
      </c>
      <c r="M9" s="25"/>
    </row>
    <row r="10" spans="2:13" x14ac:dyDescent="0.25">
      <c r="B10" s="80" t="s">
        <v>19</v>
      </c>
      <c r="C10" s="25">
        <f>XIRR(D4:D8,C4:C8,C9)</f>
        <v>4.1441115567760214E-2</v>
      </c>
      <c r="D10" s="30"/>
      <c r="E10" s="30"/>
      <c r="F10" s="80"/>
      <c r="I10" s="80" t="s">
        <v>11</v>
      </c>
      <c r="J10" s="89">
        <f>C24</f>
        <v>44990</v>
      </c>
      <c r="K10" s="30">
        <f>D24</f>
        <v>-1700000</v>
      </c>
      <c r="L10" s="30">
        <f>-1*K10</f>
        <v>1700000</v>
      </c>
      <c r="M10" s="25">
        <f>(365-(J10-$C$14))/365</f>
        <v>0.82739726027397265</v>
      </c>
    </row>
    <row r="11" spans="2:13" x14ac:dyDescent="0.25">
      <c r="B11" s="71"/>
      <c r="C11" s="71"/>
      <c r="D11" s="71"/>
      <c r="E11" s="71"/>
      <c r="F11" s="71"/>
      <c r="I11" s="80" t="s">
        <v>12</v>
      </c>
      <c r="J11" s="89">
        <f>C5</f>
        <v>45000</v>
      </c>
      <c r="K11" s="30">
        <f>D5</f>
        <v>-100000</v>
      </c>
      <c r="L11" s="30">
        <f>-1*K11</f>
        <v>100000</v>
      </c>
      <c r="M11" s="25">
        <f>(365-(J11-$C$14))/365</f>
        <v>0.8</v>
      </c>
    </row>
    <row r="12" spans="2:13" x14ac:dyDescent="0.25">
      <c r="B12" s="82" t="s">
        <v>20</v>
      </c>
      <c r="C12" s="83"/>
      <c r="D12" s="84"/>
      <c r="E12" s="77" t="s">
        <v>18</v>
      </c>
      <c r="F12" s="77"/>
      <c r="I12" s="80" t="s">
        <v>13</v>
      </c>
      <c r="J12" s="89">
        <f>C15</f>
        <v>45026</v>
      </c>
      <c r="K12" s="30">
        <f>D15</f>
        <v>-150000</v>
      </c>
      <c r="L12" s="30">
        <f>-1*K12</f>
        <v>150000</v>
      </c>
      <c r="M12" s="25">
        <f>(365-(J12-$C$14))/365</f>
        <v>0.72876712328767124</v>
      </c>
    </row>
    <row r="13" spans="2:13" x14ac:dyDescent="0.25">
      <c r="B13" s="86"/>
      <c r="C13" s="87" t="s">
        <v>14</v>
      </c>
      <c r="D13" s="88" t="s">
        <v>17</v>
      </c>
      <c r="E13" s="59" t="s">
        <v>17</v>
      </c>
      <c r="F13" s="36" t="s">
        <v>15</v>
      </c>
      <c r="I13" s="80" t="s">
        <v>23</v>
      </c>
      <c r="J13" s="89">
        <f>C25</f>
        <v>45036</v>
      </c>
      <c r="K13" s="30">
        <f>D25</f>
        <v>-100000</v>
      </c>
      <c r="L13" s="30">
        <f>-1*K13</f>
        <v>100000</v>
      </c>
      <c r="M13" s="25">
        <f>(365-(J13-$C$14))/365</f>
        <v>0.70136986301369864</v>
      </c>
    </row>
    <row r="14" spans="2:13" x14ac:dyDescent="0.25">
      <c r="B14" s="80" t="s">
        <v>9</v>
      </c>
      <c r="C14" s="89">
        <v>44927</v>
      </c>
      <c r="D14" s="30">
        <v>-1500000</v>
      </c>
      <c r="E14" s="3">
        <f>-1*D14</f>
        <v>1500000</v>
      </c>
      <c r="F14" s="2"/>
      <c r="I14" s="80" t="s">
        <v>24</v>
      </c>
      <c r="J14" s="89">
        <f>C6</f>
        <v>45107</v>
      </c>
      <c r="K14" s="30">
        <f>D6</f>
        <v>-150000</v>
      </c>
      <c r="L14" s="30">
        <f t="shared" ref="L14:L18" si="0">-1*K14</f>
        <v>150000</v>
      </c>
      <c r="M14" s="25">
        <f t="shared" ref="M14:M18" si="1">(365-(J14-$C$14))/365</f>
        <v>0.50684931506849318</v>
      </c>
    </row>
    <row r="15" spans="2:13" x14ac:dyDescent="0.25">
      <c r="B15" s="80" t="s">
        <v>11</v>
      </c>
      <c r="C15" s="89">
        <v>45026</v>
      </c>
      <c r="D15" s="30">
        <v>-150000</v>
      </c>
      <c r="E15" s="3">
        <f>-1*D15</f>
        <v>150000</v>
      </c>
      <c r="F15" s="9">
        <f>(365-(C15-$C$14+1))/365</f>
        <v>0.72602739726027399</v>
      </c>
      <c r="I15" s="80" t="s">
        <v>25</v>
      </c>
      <c r="J15" s="89">
        <f>C16</f>
        <v>45122</v>
      </c>
      <c r="K15" s="30">
        <f>D16</f>
        <v>-200000</v>
      </c>
      <c r="L15" s="30">
        <f t="shared" si="0"/>
        <v>200000</v>
      </c>
      <c r="M15" s="25">
        <f t="shared" si="1"/>
        <v>0.46575342465753422</v>
      </c>
    </row>
    <row r="16" spans="2:13" x14ac:dyDescent="0.25">
      <c r="B16" s="80" t="s">
        <v>12</v>
      </c>
      <c r="C16" s="89">
        <v>45122</v>
      </c>
      <c r="D16" s="30">
        <v>-200000</v>
      </c>
      <c r="E16" s="3">
        <f>-1*D16</f>
        <v>200000</v>
      </c>
      <c r="F16" s="9">
        <f>(365-(C16-$C$14+1))/365</f>
        <v>0.46301369863013697</v>
      </c>
      <c r="I16" s="80" t="s">
        <v>26</v>
      </c>
      <c r="J16" s="89">
        <f>C26</f>
        <v>45139</v>
      </c>
      <c r="K16" s="30">
        <f>D26</f>
        <v>-200000</v>
      </c>
      <c r="L16" s="30">
        <f t="shared" si="0"/>
        <v>200000</v>
      </c>
      <c r="M16" s="25">
        <f t="shared" si="1"/>
        <v>0.41917808219178082</v>
      </c>
    </row>
    <row r="17" spans="2:13" x14ac:dyDescent="0.25">
      <c r="B17" s="80" t="s">
        <v>13</v>
      </c>
      <c r="C17" s="89">
        <v>45221</v>
      </c>
      <c r="D17" s="30">
        <v>225000</v>
      </c>
      <c r="E17" s="3">
        <f>-1*D17</f>
        <v>-225000</v>
      </c>
      <c r="F17" s="9">
        <f>(365-(C17-$C$14))/365</f>
        <v>0.19452054794520549</v>
      </c>
      <c r="I17" s="80" t="s">
        <v>27</v>
      </c>
      <c r="J17" s="89">
        <f>C7</f>
        <v>45189</v>
      </c>
      <c r="K17" s="30">
        <f>D7</f>
        <v>-200000</v>
      </c>
      <c r="L17" s="30">
        <f t="shared" si="0"/>
        <v>200000</v>
      </c>
      <c r="M17" s="25">
        <f t="shared" si="1"/>
        <v>0.28219178082191781</v>
      </c>
    </row>
    <row r="18" spans="2:13" x14ac:dyDescent="0.25">
      <c r="B18" s="80" t="s">
        <v>10</v>
      </c>
      <c r="C18" s="89">
        <v>45291</v>
      </c>
      <c r="D18" s="30">
        <v>1700000</v>
      </c>
      <c r="E18" s="3">
        <f>D18</f>
        <v>1700000</v>
      </c>
      <c r="F18" s="10"/>
      <c r="I18" s="80" t="s">
        <v>28</v>
      </c>
      <c r="J18" s="89">
        <f>C17</f>
        <v>45221</v>
      </c>
      <c r="K18" s="30">
        <f>D17</f>
        <v>225000</v>
      </c>
      <c r="L18" s="30">
        <f t="shared" si="0"/>
        <v>-225000</v>
      </c>
      <c r="M18" s="25">
        <f t="shared" si="1"/>
        <v>0.19452054794520549</v>
      </c>
    </row>
    <row r="19" spans="2:13" x14ac:dyDescent="0.25">
      <c r="B19" s="80" t="s">
        <v>16</v>
      </c>
      <c r="C19" s="25">
        <f>(E18-E14-SUM(E15:E17))/(E14+SUMPRODUCT(E15:E17,F15:F17))</f>
        <v>4.5242325331570465E-2</v>
      </c>
      <c r="D19" s="30"/>
      <c r="E19" s="3"/>
      <c r="F19" s="10"/>
      <c r="I19" s="80" t="s">
        <v>29</v>
      </c>
      <c r="J19" s="89">
        <f>C27</f>
        <v>45235</v>
      </c>
      <c r="K19" s="30">
        <f>D27</f>
        <v>-300000</v>
      </c>
      <c r="L19" s="30">
        <f>-1*K19</f>
        <v>300000</v>
      </c>
      <c r="M19" s="25">
        <f>(365-(J19-$C$14))/365</f>
        <v>0.15616438356164383</v>
      </c>
    </row>
    <row r="20" spans="2:13" x14ac:dyDescent="0.25">
      <c r="B20" s="80" t="s">
        <v>19</v>
      </c>
      <c r="C20" s="25">
        <f>XIRR(D14:D18,C14:C18,C19)</f>
        <v>4.5367703503608421E-2</v>
      </c>
      <c r="D20" s="30"/>
      <c r="E20" s="3"/>
      <c r="F20" s="10"/>
      <c r="I20" s="80" t="s">
        <v>10</v>
      </c>
      <c r="J20" s="89">
        <v>45291</v>
      </c>
      <c r="K20" s="30">
        <f>D28+D18+D8</f>
        <v>5600000</v>
      </c>
      <c r="L20" s="30">
        <f>K20</f>
        <v>5600000</v>
      </c>
      <c r="M20" s="80"/>
    </row>
    <row r="21" spans="2:13" x14ac:dyDescent="0.25">
      <c r="B21" s="71"/>
      <c r="C21" s="71"/>
      <c r="D21" s="71"/>
      <c r="E21" s="71"/>
      <c r="F21" s="71"/>
      <c r="I21" s="80" t="s">
        <v>16</v>
      </c>
      <c r="J21" s="25">
        <f>(L20-L9-SUM(L10:L19))/(L9+SUMPRODUCT(L10:L19,M10:M19))</f>
        <v>5.0239344212152266E-2</v>
      </c>
      <c r="K21" s="98"/>
      <c r="L21" s="99"/>
      <c r="M21" s="100"/>
    </row>
    <row r="22" spans="2:13" x14ac:dyDescent="0.25">
      <c r="B22" s="82" t="s">
        <v>21</v>
      </c>
      <c r="C22" s="83"/>
      <c r="D22" s="84"/>
      <c r="E22" s="77" t="s">
        <v>18</v>
      </c>
      <c r="F22" s="77"/>
      <c r="G22" s="10" t="s">
        <v>36</v>
      </c>
      <c r="H22" s="12"/>
      <c r="I22" s="80" t="s">
        <v>19</v>
      </c>
      <c r="J22" s="25">
        <f>XIRR(K9:K20,J9:J20,J21)</f>
        <v>5.0545007622604596E-2</v>
      </c>
      <c r="K22" s="101"/>
      <c r="L22" s="102"/>
      <c r="M22" s="103"/>
    </row>
    <row r="23" spans="2:13" x14ac:dyDescent="0.25">
      <c r="B23" s="86"/>
      <c r="C23" s="87" t="s">
        <v>14</v>
      </c>
      <c r="D23" s="88" t="s">
        <v>17</v>
      </c>
      <c r="E23" s="59" t="s">
        <v>17</v>
      </c>
      <c r="F23" s="36" t="s">
        <v>15</v>
      </c>
      <c r="G23" s="10" t="s">
        <v>32</v>
      </c>
      <c r="H23" s="12"/>
    </row>
    <row r="24" spans="2:13" x14ac:dyDescent="0.25">
      <c r="B24" s="80" t="s">
        <v>9</v>
      </c>
      <c r="C24" s="89">
        <v>44990</v>
      </c>
      <c r="D24" s="30">
        <v>-1700000</v>
      </c>
      <c r="E24" s="3">
        <f>-1*D24</f>
        <v>1700000</v>
      </c>
      <c r="F24" s="10"/>
      <c r="G24" s="9">
        <f>(365-(C24-$C$14+1))/365</f>
        <v>0.8246575342465754</v>
      </c>
      <c r="H24" s="13"/>
    </row>
    <row r="25" spans="2:13" x14ac:dyDescent="0.25">
      <c r="B25" s="80" t="s">
        <v>11</v>
      </c>
      <c r="C25" s="89">
        <v>45036</v>
      </c>
      <c r="D25" s="30">
        <v>-100000</v>
      </c>
      <c r="E25" s="3">
        <f>-1*D25</f>
        <v>100000</v>
      </c>
      <c r="F25" s="9">
        <f>(365-(C25-$C$14+1))/365</f>
        <v>0.69863013698630139</v>
      </c>
      <c r="G25" s="9">
        <f>(365-(C25-$C$14+1))/365</f>
        <v>0.69863013698630139</v>
      </c>
      <c r="H25" s="13"/>
    </row>
    <row r="26" spans="2:13" x14ac:dyDescent="0.25">
      <c r="B26" s="80" t="s">
        <v>12</v>
      </c>
      <c r="C26" s="89">
        <v>45139</v>
      </c>
      <c r="D26" s="30">
        <v>-200000</v>
      </c>
      <c r="E26" s="3">
        <f>-1*D26</f>
        <v>200000</v>
      </c>
      <c r="F26" s="9">
        <f>(365-(C26-$C$14+1))/365</f>
        <v>0.41643835616438357</v>
      </c>
      <c r="G26" s="9">
        <f>(365-(C26-$C$14+1))/365</f>
        <v>0.41643835616438357</v>
      </c>
      <c r="H26" s="13"/>
    </row>
    <row r="27" spans="2:13" x14ac:dyDescent="0.25">
      <c r="B27" s="80" t="s">
        <v>13</v>
      </c>
      <c r="C27" s="89">
        <v>45235</v>
      </c>
      <c r="D27" s="30">
        <v>-300000</v>
      </c>
      <c r="E27" s="3">
        <f>-1*D27</f>
        <v>300000</v>
      </c>
      <c r="F27" s="9">
        <f>(365-(C27-$C$14+1))/365</f>
        <v>0.15342465753424658</v>
      </c>
      <c r="G27" s="9">
        <f>(365-(C27-$C$14+1))/365</f>
        <v>0.15342465753424658</v>
      </c>
      <c r="H27" s="13"/>
    </row>
    <row r="28" spans="2:13" x14ac:dyDescent="0.25">
      <c r="B28" s="80" t="s">
        <v>10</v>
      </c>
      <c r="C28" s="89">
        <v>45291</v>
      </c>
      <c r="D28" s="30">
        <v>2400000</v>
      </c>
      <c r="E28" s="3">
        <f>D28</f>
        <v>2400000</v>
      </c>
      <c r="F28" s="2"/>
    </row>
    <row r="29" spans="2:13" x14ac:dyDescent="0.25">
      <c r="B29" s="80" t="s">
        <v>16</v>
      </c>
      <c r="C29" s="25">
        <f>(E28-E24-SUM(E25:E27))/(E24+SUMPRODUCT(E25:E27,F25:F27))</f>
        <v>5.2654356607039814E-2</v>
      </c>
      <c r="D29" s="91"/>
      <c r="E29" s="3"/>
      <c r="F29" s="2"/>
    </row>
    <row r="30" spans="2:13" x14ac:dyDescent="0.25">
      <c r="B30" s="80" t="s">
        <v>19</v>
      </c>
      <c r="C30" s="25">
        <f>(1+D30)^((C28-C24)/365)-1</f>
        <v>5.1578104304187855E-2</v>
      </c>
      <c r="D30" s="25">
        <f>XIRR(D24:D28,C24:C28,C29)</f>
        <v>6.2883296412879597E-2</v>
      </c>
      <c r="E30" s="3"/>
      <c r="F30" s="2"/>
    </row>
    <row r="32" spans="2:13" x14ac:dyDescent="0.25">
      <c r="C32">
        <f>C28-C24</f>
        <v>301</v>
      </c>
    </row>
    <row r="33" spans="3:3" x14ac:dyDescent="0.25">
      <c r="C33" s="35">
        <f>(1+D30)^(C32/365)-1</f>
        <v>5.1578104304187855E-2</v>
      </c>
    </row>
  </sheetData>
  <mergeCells count="12">
    <mergeCell ref="B2:C2"/>
    <mergeCell ref="B12:C12"/>
    <mergeCell ref="B22:C22"/>
    <mergeCell ref="B11:F11"/>
    <mergeCell ref="B21:F21"/>
    <mergeCell ref="I7:K7"/>
    <mergeCell ref="K21:M22"/>
    <mergeCell ref="I6:M6"/>
    <mergeCell ref="E2:F2"/>
    <mergeCell ref="E12:F12"/>
    <mergeCell ref="E22:F22"/>
    <mergeCell ref="L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C057-AB5F-40EE-86A5-8981A65D2607}">
  <dimension ref="A1:BV29"/>
  <sheetViews>
    <sheetView topLeftCell="A14" zoomScale="205" zoomScaleNormal="205" workbookViewId="0">
      <selection activeCell="A17" sqref="A17:I29"/>
    </sheetView>
  </sheetViews>
  <sheetFormatPr defaultRowHeight="15" x14ac:dyDescent="0.25"/>
  <cols>
    <col min="1" max="1" width="12.140625" customWidth="1"/>
    <col min="2" max="2" width="10.5703125" bestFit="1" customWidth="1"/>
    <col min="3" max="3" width="8.85546875" hidden="1" customWidth="1"/>
    <col min="4" max="4" width="10.85546875" hidden="1" customWidth="1"/>
    <col min="5" max="5" width="0" hidden="1" customWidth="1"/>
    <col min="6" max="7" width="10.5703125" bestFit="1" customWidth="1"/>
    <col min="8" max="8" width="13.28515625" bestFit="1" customWidth="1"/>
    <col min="9" max="11" width="9.140625" customWidth="1"/>
    <col min="12" max="12" width="10.5703125" bestFit="1" customWidth="1"/>
    <col min="13" max="13" width="9.140625" customWidth="1"/>
    <col min="14" max="14" width="10.5703125" bestFit="1" customWidth="1"/>
    <col min="15" max="17" width="9.140625" customWidth="1"/>
    <col min="18" max="18" width="10.5703125" bestFit="1" customWidth="1"/>
    <col min="19" max="19" width="9.140625" customWidth="1"/>
    <col min="20" max="20" width="10.5703125" bestFit="1" customWidth="1"/>
    <col min="21" max="21" width="8" customWidth="1"/>
    <col min="22" max="22" width="7.42578125" customWidth="1"/>
    <col min="23" max="23" width="9.140625" customWidth="1"/>
    <col min="24" max="24" width="10.5703125" bestFit="1" customWidth="1"/>
    <col min="25" max="25" width="7" customWidth="1"/>
    <col min="26" max="26" width="10.5703125" bestFit="1" customWidth="1"/>
    <col min="27" max="29" width="9.140625" customWidth="1"/>
    <col min="30" max="30" width="10.5703125" bestFit="1" customWidth="1"/>
    <col min="31" max="31" width="9.140625" customWidth="1"/>
    <col min="32" max="32" width="10.5703125" bestFit="1" customWidth="1"/>
    <col min="33" max="35" width="9.140625" customWidth="1"/>
    <col min="36" max="36" width="10.5703125" bestFit="1" customWidth="1"/>
    <col min="37" max="37" width="9.140625" customWidth="1"/>
    <col min="38" max="38" width="10.5703125" bestFit="1" customWidth="1"/>
    <col min="39" max="41" width="9.140625" customWidth="1"/>
    <col min="42" max="42" width="10.5703125" bestFit="1" customWidth="1"/>
    <col min="43" max="43" width="9.140625" customWidth="1"/>
    <col min="44" max="44" width="10.5703125" bestFit="1" customWidth="1"/>
    <col min="45" max="47" width="9.140625" customWidth="1"/>
    <col min="48" max="48" width="10.5703125" bestFit="1" customWidth="1"/>
    <col min="49" max="49" width="9.140625" customWidth="1"/>
    <col min="50" max="50" width="10.5703125" bestFit="1" customWidth="1"/>
    <col min="51" max="53" width="9.140625" customWidth="1"/>
    <col min="54" max="54" width="10.5703125" bestFit="1" customWidth="1"/>
    <col min="55" max="55" width="9.140625" customWidth="1"/>
    <col min="56" max="56" width="10.5703125" bestFit="1" customWidth="1"/>
    <col min="57" max="59" width="9.140625" customWidth="1"/>
    <col min="60" max="60" width="10.5703125" customWidth="1"/>
    <col min="61" max="61" width="9.140625" customWidth="1"/>
    <col min="62" max="62" width="10.5703125" customWidth="1"/>
    <col min="63" max="65" width="9.140625" customWidth="1"/>
    <col min="66" max="66" width="10.5703125" customWidth="1"/>
    <col min="67" max="67" width="9.140625" customWidth="1"/>
    <col min="68" max="68" width="10.5703125" bestFit="1" customWidth="1"/>
    <col min="72" max="72" width="10.5703125" bestFit="1" customWidth="1"/>
  </cols>
  <sheetData>
    <row r="1" spans="1:74" x14ac:dyDescent="0.25">
      <c r="A1" s="8">
        <v>44927</v>
      </c>
    </row>
    <row r="2" spans="1:74" x14ac:dyDescent="0.25">
      <c r="B2" s="74" t="s">
        <v>37</v>
      </c>
      <c r="C2" s="74"/>
      <c r="D2" s="74"/>
      <c r="E2" s="74"/>
      <c r="F2" s="74"/>
      <c r="G2" s="74"/>
      <c r="H2" s="71" t="s">
        <v>43</v>
      </c>
      <c r="I2" s="71"/>
      <c r="J2" s="71"/>
      <c r="K2" s="71"/>
      <c r="L2" s="71"/>
      <c r="M2" s="71"/>
      <c r="N2" s="74" t="s">
        <v>44</v>
      </c>
      <c r="O2" s="74"/>
      <c r="P2" s="74"/>
      <c r="Q2" s="74"/>
      <c r="R2" s="74"/>
      <c r="S2" s="74"/>
      <c r="T2" s="71" t="s">
        <v>46</v>
      </c>
      <c r="U2" s="71"/>
      <c r="V2" s="71"/>
      <c r="W2" s="71"/>
      <c r="X2" s="71"/>
      <c r="Y2" s="71"/>
      <c r="Z2" s="74" t="s">
        <v>48</v>
      </c>
      <c r="AA2" s="74"/>
      <c r="AB2" s="74"/>
      <c r="AC2" s="74"/>
      <c r="AD2" s="74"/>
      <c r="AE2" s="74"/>
      <c r="AF2" s="71" t="s">
        <v>47</v>
      </c>
      <c r="AG2" s="71"/>
      <c r="AH2" s="71"/>
      <c r="AI2" s="71"/>
      <c r="AJ2" s="71"/>
      <c r="AK2" s="71"/>
      <c r="AL2" s="74" t="s">
        <v>49</v>
      </c>
      <c r="AM2" s="74"/>
      <c r="AN2" s="74"/>
      <c r="AO2" s="74"/>
      <c r="AP2" s="74"/>
      <c r="AQ2" s="74"/>
      <c r="AR2" s="71" t="s">
        <v>50</v>
      </c>
      <c r="AS2" s="71"/>
      <c r="AT2" s="71"/>
      <c r="AU2" s="71"/>
      <c r="AV2" s="71"/>
      <c r="AW2" s="71"/>
      <c r="AX2" s="74" t="s">
        <v>51</v>
      </c>
      <c r="AY2" s="74"/>
      <c r="AZ2" s="74"/>
      <c r="BA2" s="74"/>
      <c r="BB2" s="74"/>
      <c r="BC2" s="74"/>
      <c r="BD2" s="71" t="s">
        <v>52</v>
      </c>
      <c r="BE2" s="71"/>
      <c r="BF2" s="71"/>
      <c r="BG2" s="71"/>
      <c r="BH2" s="71"/>
      <c r="BI2" s="71"/>
      <c r="BJ2" s="74" t="s">
        <v>53</v>
      </c>
      <c r="BK2" s="74"/>
      <c r="BL2" s="74"/>
      <c r="BM2" s="74"/>
      <c r="BN2" s="74"/>
      <c r="BO2" s="74"/>
      <c r="BP2" s="71" t="s">
        <v>54</v>
      </c>
      <c r="BQ2" s="71"/>
      <c r="BR2" s="71"/>
      <c r="BS2" s="71"/>
      <c r="BT2" s="71"/>
      <c r="BU2" s="71"/>
    </row>
    <row r="3" spans="1:74" ht="30" x14ac:dyDescent="0.25">
      <c r="A3" s="14" t="s">
        <v>0</v>
      </c>
      <c r="B3" s="17" t="s">
        <v>38</v>
      </c>
      <c r="C3" s="18" t="s">
        <v>39</v>
      </c>
      <c r="D3" s="18" t="s">
        <v>40</v>
      </c>
      <c r="E3" s="18" t="s">
        <v>41</v>
      </c>
      <c r="F3" s="17" t="s">
        <v>45</v>
      </c>
      <c r="G3" s="17" t="s">
        <v>42</v>
      </c>
      <c r="H3" s="15" t="s">
        <v>38</v>
      </c>
      <c r="I3" s="16" t="s">
        <v>39</v>
      </c>
      <c r="J3" s="16" t="s">
        <v>40</v>
      </c>
      <c r="K3" s="16" t="s">
        <v>41</v>
      </c>
      <c r="L3" s="15" t="s">
        <v>45</v>
      </c>
      <c r="M3" s="15" t="s">
        <v>42</v>
      </c>
      <c r="N3" s="17" t="s">
        <v>38</v>
      </c>
      <c r="O3" s="18" t="s">
        <v>39</v>
      </c>
      <c r="P3" s="18" t="s">
        <v>40</v>
      </c>
      <c r="Q3" s="18" t="s">
        <v>41</v>
      </c>
      <c r="R3" s="17" t="s">
        <v>45</v>
      </c>
      <c r="S3" s="17" t="s">
        <v>42</v>
      </c>
      <c r="T3" s="15" t="s">
        <v>38</v>
      </c>
      <c r="U3" s="16" t="s">
        <v>39</v>
      </c>
      <c r="V3" s="16" t="s">
        <v>40</v>
      </c>
      <c r="W3" s="16" t="s">
        <v>41</v>
      </c>
      <c r="X3" s="15" t="s">
        <v>45</v>
      </c>
      <c r="Y3" s="15" t="s">
        <v>42</v>
      </c>
      <c r="Z3" s="17" t="s">
        <v>38</v>
      </c>
      <c r="AA3" s="18" t="s">
        <v>39</v>
      </c>
      <c r="AB3" s="18" t="s">
        <v>40</v>
      </c>
      <c r="AC3" s="18" t="s">
        <v>41</v>
      </c>
      <c r="AD3" s="17" t="s">
        <v>45</v>
      </c>
      <c r="AE3" s="17" t="s">
        <v>42</v>
      </c>
      <c r="AF3" s="15" t="s">
        <v>38</v>
      </c>
      <c r="AG3" s="16" t="s">
        <v>39</v>
      </c>
      <c r="AH3" s="16" t="s">
        <v>40</v>
      </c>
      <c r="AI3" s="16" t="s">
        <v>41</v>
      </c>
      <c r="AJ3" s="15" t="s">
        <v>45</v>
      </c>
      <c r="AK3" s="15" t="s">
        <v>42</v>
      </c>
      <c r="AL3" s="17" t="s">
        <v>38</v>
      </c>
      <c r="AM3" s="18" t="s">
        <v>39</v>
      </c>
      <c r="AN3" s="18" t="s">
        <v>40</v>
      </c>
      <c r="AO3" s="18" t="s">
        <v>41</v>
      </c>
      <c r="AP3" s="17" t="s">
        <v>45</v>
      </c>
      <c r="AQ3" s="17" t="s">
        <v>42</v>
      </c>
      <c r="AR3" s="15" t="s">
        <v>38</v>
      </c>
      <c r="AS3" s="16" t="s">
        <v>39</v>
      </c>
      <c r="AT3" s="16" t="s">
        <v>40</v>
      </c>
      <c r="AU3" s="16" t="s">
        <v>41</v>
      </c>
      <c r="AV3" s="15" t="s">
        <v>45</v>
      </c>
      <c r="AW3" s="15" t="s">
        <v>42</v>
      </c>
      <c r="AX3" s="17" t="s">
        <v>38</v>
      </c>
      <c r="AY3" s="18" t="s">
        <v>39</v>
      </c>
      <c r="AZ3" s="18" t="s">
        <v>40</v>
      </c>
      <c r="BA3" s="18" t="s">
        <v>41</v>
      </c>
      <c r="BB3" s="17" t="s">
        <v>45</v>
      </c>
      <c r="BC3" s="17" t="s">
        <v>42</v>
      </c>
      <c r="BD3" s="15" t="s">
        <v>38</v>
      </c>
      <c r="BE3" s="16" t="s">
        <v>39</v>
      </c>
      <c r="BF3" s="16" t="s">
        <v>40</v>
      </c>
      <c r="BG3" s="16" t="s">
        <v>41</v>
      </c>
      <c r="BH3" s="15" t="s">
        <v>45</v>
      </c>
      <c r="BI3" s="15" t="s">
        <v>42</v>
      </c>
      <c r="BJ3" s="17" t="s">
        <v>38</v>
      </c>
      <c r="BK3" s="18" t="s">
        <v>39</v>
      </c>
      <c r="BL3" s="18" t="s">
        <v>40</v>
      </c>
      <c r="BM3" s="18" t="s">
        <v>41</v>
      </c>
      <c r="BN3" s="17" t="s">
        <v>45</v>
      </c>
      <c r="BO3" s="17" t="s">
        <v>42</v>
      </c>
      <c r="BP3" s="15" t="s">
        <v>38</v>
      </c>
      <c r="BQ3" s="16" t="s">
        <v>39</v>
      </c>
      <c r="BR3" s="16" t="s">
        <v>40</v>
      </c>
      <c r="BS3" s="16" t="s">
        <v>41</v>
      </c>
      <c r="BT3" s="15" t="s">
        <v>45</v>
      </c>
      <c r="BU3" s="15" t="s">
        <v>42</v>
      </c>
      <c r="BV3" s="16" t="s">
        <v>57</v>
      </c>
    </row>
    <row r="4" spans="1:74" x14ac:dyDescent="0.25">
      <c r="A4" s="2" t="s">
        <v>2</v>
      </c>
      <c r="B4" s="19">
        <v>1100000</v>
      </c>
      <c r="C4" s="20">
        <v>50000</v>
      </c>
      <c r="D4" s="21">
        <f>(31-5+1)/31</f>
        <v>0.87096774193548387</v>
      </c>
      <c r="E4" s="22">
        <f>(B4+D4*C4)/SUM(B$14:C$14)</f>
        <v>0.19289367722276637</v>
      </c>
      <c r="F4" s="19">
        <v>1205500</v>
      </c>
      <c r="G4" s="23">
        <f>(F4-B4-C4)/(B4+D4*C4)</f>
        <v>4.8533145275035258E-2</v>
      </c>
      <c r="H4" s="3">
        <f>F4</f>
        <v>1205500</v>
      </c>
      <c r="I4" s="4"/>
      <c r="J4" s="5"/>
      <c r="K4" s="6">
        <f>(H4+J4*I4)/SUM(H$14:I$14)</f>
        <v>0.19877978398878721</v>
      </c>
      <c r="L4" s="3">
        <v>1206000</v>
      </c>
      <c r="M4" s="25">
        <f>(L4-H4-I4)/(H4+J4*I4)</f>
        <v>4.1476565740356696E-4</v>
      </c>
      <c r="N4" s="19">
        <f>L4</f>
        <v>1206000</v>
      </c>
      <c r="O4" s="20"/>
      <c r="P4" s="21"/>
      <c r="Q4" s="22">
        <f>(N4+P4*O4)/SUM(N$14:O$14)</f>
        <v>0.19476744186046513</v>
      </c>
      <c r="R4" s="19">
        <v>1200000</v>
      </c>
      <c r="S4" s="23">
        <f>(R4-N4-O4)/(N4+P4*O4)</f>
        <v>-4.9751243781094526E-3</v>
      </c>
      <c r="T4" s="3">
        <f>R4</f>
        <v>1200000</v>
      </c>
      <c r="U4" s="4"/>
      <c r="V4" s="5"/>
      <c r="W4" s="6">
        <f>(T4+V4*U4)/SUM(T$14:U$93)</f>
        <v>0.19498669597899762</v>
      </c>
      <c r="X4" s="3">
        <v>1185000</v>
      </c>
      <c r="Y4" s="25">
        <f>(X4-T4-U4)/(T4+V4*U4)</f>
        <v>-1.2500000000000001E-2</v>
      </c>
      <c r="Z4" s="19">
        <f>X4</f>
        <v>1185000</v>
      </c>
      <c r="AA4" s="20"/>
      <c r="AB4" s="21"/>
      <c r="AC4" s="22">
        <f>(Z4+AB4*AA4)/SUM(Z$14:AA$93)</f>
        <v>0.19426229508196721</v>
      </c>
      <c r="AD4" s="19">
        <v>1180000</v>
      </c>
      <c r="AE4" s="23">
        <f>(AD4-Z4-AA4)/(Z4+AB4*AA4)</f>
        <v>-4.2194092827004216E-3</v>
      </c>
      <c r="AF4" s="3">
        <f>AD4</f>
        <v>1180000</v>
      </c>
      <c r="AG4" s="4"/>
      <c r="AH4" s="5"/>
      <c r="AI4" s="6">
        <f>(AF4+AH4*AG4)/SUM(AF$14:AG$93)</f>
        <v>0.19865319865319866</v>
      </c>
      <c r="AJ4" s="3">
        <v>1170000</v>
      </c>
      <c r="AK4" s="25">
        <f>(AJ4-AF4-AG4)/(AF4+AH4*AG4)</f>
        <v>-8.4745762711864406E-3</v>
      </c>
      <c r="AL4" s="19">
        <f>AJ4</f>
        <v>1170000</v>
      </c>
      <c r="AM4" s="20"/>
      <c r="AN4" s="21"/>
      <c r="AO4" s="22">
        <f>(AL4+AN4*AM4)/SUM(AL$14:AM$93)</f>
        <v>0.19710242587601079</v>
      </c>
      <c r="AP4" s="19">
        <v>1175000</v>
      </c>
      <c r="AQ4" s="23">
        <f>(AP4-AL4-AM4)/(AL4+AN4*AM4)</f>
        <v>4.2735042735042739E-3</v>
      </c>
      <c r="AR4" s="3">
        <f>AP4</f>
        <v>1175000</v>
      </c>
      <c r="AS4" s="4"/>
      <c r="AT4" s="5"/>
      <c r="AU4" s="6">
        <f>(AR4+AT4*AS4)/SUM(AR$14:AS$93)</f>
        <v>0.19635695187165775</v>
      </c>
      <c r="AV4" s="3">
        <v>1161000</v>
      </c>
      <c r="AW4" s="25">
        <f>(AV4-AR4-AS4)/(AR4+AT4*AS4)</f>
        <v>-1.1914893617021277E-2</v>
      </c>
      <c r="AX4" s="19">
        <f>AV4</f>
        <v>1161000</v>
      </c>
      <c r="AY4" s="20"/>
      <c r="AZ4" s="21"/>
      <c r="BA4" s="22">
        <f>(AX4+AZ4*AY4)/SUM(AX$14:AY$93)</f>
        <v>0.19260119442601195</v>
      </c>
      <c r="BB4" s="19">
        <v>1163000</v>
      </c>
      <c r="BC4" s="23">
        <f>(BB4-AX4-AY4)/(AX4+AZ4*AY4)</f>
        <v>1.7226528854435831E-3</v>
      </c>
      <c r="BD4" s="3">
        <f>BB4</f>
        <v>1163000</v>
      </c>
      <c r="BE4" s="4"/>
      <c r="BF4" s="5"/>
      <c r="BG4" s="6">
        <f>(BD4+BF4*BE4)/SUM(BD$14:BE$93)</f>
        <v>0.19169276413383879</v>
      </c>
      <c r="BH4" s="3">
        <v>1165000</v>
      </c>
      <c r="BI4" s="25">
        <f>(BH4-BD4-BE4)/(BD4+BF4*BE4)</f>
        <v>1.7196904557179708E-3</v>
      </c>
      <c r="BJ4" s="19">
        <f>BH4</f>
        <v>1165000</v>
      </c>
      <c r="BK4" s="20"/>
      <c r="BL4" s="21"/>
      <c r="BM4" s="22">
        <f>(BJ4+BL4*BK4)/SUM(BJ$14:BK$93)</f>
        <v>0.19051512673753065</v>
      </c>
      <c r="BN4" s="19">
        <v>1170000</v>
      </c>
      <c r="BO4" s="23">
        <f>(BN4-BJ4-BK4)/(BJ4+BL4*BK4)</f>
        <v>4.2918454935622317E-3</v>
      </c>
      <c r="BP4" s="3">
        <f>BN4</f>
        <v>1170000</v>
      </c>
      <c r="BQ4" s="4"/>
      <c r="BR4" s="5"/>
      <c r="BS4" s="6">
        <f>(BP4+BR4*BQ4)/SUM(BP$14:BQ$93)</f>
        <v>0.18780096308186195</v>
      </c>
      <c r="BT4" s="3">
        <v>1180000</v>
      </c>
      <c r="BU4" s="25">
        <f>(BT4-BP4-BQ4)/(BP4+BR4*BQ4)</f>
        <v>8.5470085470085479E-3</v>
      </c>
      <c r="BV4" s="6">
        <f t="array" ref="BV4">PRODUCT(1+G5:BU5)-1</f>
        <v>2.6353472770254571E-2</v>
      </c>
    </row>
    <row r="5" spans="1:74" hidden="1" x14ac:dyDescent="0.25">
      <c r="A5" s="2"/>
      <c r="B5" s="19"/>
      <c r="C5" s="20"/>
      <c r="D5" s="21"/>
      <c r="E5" s="22"/>
      <c r="F5" s="19"/>
      <c r="G5" s="32">
        <f>G4</f>
        <v>4.8533145275035258E-2</v>
      </c>
      <c r="H5" s="3"/>
      <c r="I5" s="4"/>
      <c r="J5" s="5"/>
      <c r="K5" s="6"/>
      <c r="L5" s="3"/>
      <c r="M5" s="32">
        <f>M4</f>
        <v>4.1476565740356696E-4</v>
      </c>
      <c r="N5" s="19"/>
      <c r="O5" s="20"/>
      <c r="P5" s="21"/>
      <c r="Q5" s="22"/>
      <c r="R5" s="19"/>
      <c r="S5" s="32">
        <f>S4</f>
        <v>-4.9751243781094526E-3</v>
      </c>
      <c r="T5" s="3"/>
      <c r="U5" s="4"/>
      <c r="V5" s="5"/>
      <c r="W5" s="6"/>
      <c r="X5" s="3"/>
      <c r="Y5" s="32">
        <f>Y4</f>
        <v>-1.2500000000000001E-2</v>
      </c>
      <c r="Z5" s="19"/>
      <c r="AA5" s="20"/>
      <c r="AB5" s="21"/>
      <c r="AC5" s="22"/>
      <c r="AD5" s="19"/>
      <c r="AE5" s="32">
        <f>AE4</f>
        <v>-4.2194092827004216E-3</v>
      </c>
      <c r="AF5" s="3"/>
      <c r="AG5" s="4"/>
      <c r="AH5" s="5"/>
      <c r="AI5" s="6"/>
      <c r="AJ5" s="3"/>
      <c r="AK5" s="32">
        <f>AK4</f>
        <v>-8.4745762711864406E-3</v>
      </c>
      <c r="AL5" s="19"/>
      <c r="AM5" s="20"/>
      <c r="AN5" s="21"/>
      <c r="AO5" s="22"/>
      <c r="AP5" s="19"/>
      <c r="AQ5" s="32">
        <f>AQ4</f>
        <v>4.2735042735042739E-3</v>
      </c>
      <c r="AR5" s="3"/>
      <c r="AS5" s="4"/>
      <c r="AT5" s="5"/>
      <c r="AU5" s="6"/>
      <c r="AV5" s="3"/>
      <c r="AW5" s="32">
        <f>AW4</f>
        <v>-1.1914893617021277E-2</v>
      </c>
      <c r="AX5" s="19"/>
      <c r="AY5" s="20"/>
      <c r="AZ5" s="21"/>
      <c r="BA5" s="22"/>
      <c r="BB5" s="19"/>
      <c r="BC5" s="32">
        <f>BC4</f>
        <v>1.7226528854435831E-3</v>
      </c>
      <c r="BD5" s="3"/>
      <c r="BE5" s="4"/>
      <c r="BF5" s="5"/>
      <c r="BG5" s="6"/>
      <c r="BH5" s="3"/>
      <c r="BI5" s="32">
        <f>BI4</f>
        <v>1.7196904557179708E-3</v>
      </c>
      <c r="BJ5" s="19"/>
      <c r="BK5" s="20"/>
      <c r="BL5" s="21"/>
      <c r="BM5" s="22"/>
      <c r="BN5" s="19"/>
      <c r="BO5" s="32">
        <f>BO4</f>
        <v>4.2918454935622317E-3</v>
      </c>
      <c r="BP5" s="3"/>
      <c r="BQ5" s="4"/>
      <c r="BR5" s="5"/>
      <c r="BS5" s="6"/>
      <c r="BT5" s="3"/>
      <c r="BU5" s="32">
        <f>BU4</f>
        <v>8.5470085470085479E-3</v>
      </c>
      <c r="BV5" s="2"/>
    </row>
    <row r="6" spans="1:74" x14ac:dyDescent="0.25">
      <c r="A6" s="2" t="s">
        <v>3</v>
      </c>
      <c r="B6" s="19">
        <v>1150000</v>
      </c>
      <c r="C6" s="20">
        <v>100000</v>
      </c>
      <c r="D6" s="21">
        <f>(31-15+1)/31</f>
        <v>0.54838709677419351</v>
      </c>
      <c r="E6" s="22">
        <f t="shared" ref="E6:E12" si="0">(B6+D6*C6)/SUM(B$14:C$14)</f>
        <v>0.20323212536728699</v>
      </c>
      <c r="F6" s="19">
        <v>1262000</v>
      </c>
      <c r="G6" s="23">
        <f>(F6-B6-C6)/(B6+D6*C6)</f>
        <v>9.9598393574297193E-3</v>
      </c>
      <c r="H6" s="3">
        <f t="shared" ref="H6:H12" si="1">F6</f>
        <v>1262000</v>
      </c>
      <c r="I6" s="4"/>
      <c r="J6" s="5"/>
      <c r="K6" s="6">
        <f t="shared" ref="K6:K12" si="2">(H6+J6*I6)/SUM(H$14:I$14)</f>
        <v>0.20809629812845246</v>
      </c>
      <c r="L6" s="3">
        <v>1263000</v>
      </c>
      <c r="M6" s="25">
        <f t="shared" ref="M6:M12" si="3">(L6-H6-I6)/(H6+J6*I6)</f>
        <v>7.9239302694136295E-4</v>
      </c>
      <c r="N6" s="19">
        <f t="shared" ref="N6:N12" si="4">L6</f>
        <v>1263000</v>
      </c>
      <c r="O6" s="20"/>
      <c r="P6" s="21"/>
      <c r="Q6" s="22">
        <f t="shared" ref="Q6:Q12" si="5">(N6+P6*O6)/SUM(N$14:O$14)</f>
        <v>0.20397286821705427</v>
      </c>
      <c r="R6" s="19">
        <v>1256000</v>
      </c>
      <c r="S6" s="23">
        <f>(R6-N6-O6)/(N6+P6*O6)</f>
        <v>-5.5423594615993665E-3</v>
      </c>
      <c r="T6" s="3">
        <f t="shared" ref="T6:T12" si="6">R6</f>
        <v>1256000</v>
      </c>
      <c r="U6" s="4"/>
      <c r="V6" s="5"/>
      <c r="W6" s="6">
        <f>(T6+V6*U6)/SUM(T$14:U$93)</f>
        <v>0.20408607512468419</v>
      </c>
      <c r="X6" s="3">
        <v>1250000</v>
      </c>
      <c r="Y6" s="25">
        <f t="shared" ref="Y6:Y12" si="7">(X6-T6-U6)/(T6+V6*U6)</f>
        <v>-4.7770700636942673E-3</v>
      </c>
      <c r="Z6" s="19">
        <f t="shared" ref="Z6:Z12" si="8">X6</f>
        <v>1250000</v>
      </c>
      <c r="AA6" s="20"/>
      <c r="AB6" s="21"/>
      <c r="AC6" s="22">
        <f>(Z6+AB6*AA6)/SUM(Z$14:AA$93)</f>
        <v>0.20491803278688525</v>
      </c>
      <c r="AD6" s="19">
        <v>1200000</v>
      </c>
      <c r="AE6" s="23">
        <f>(AD6-Z6-AA6)/(Z6+AB6*AA6)</f>
        <v>-0.04</v>
      </c>
      <c r="AF6" s="3">
        <f t="shared" ref="AF6:AF12" si="9">AD6</f>
        <v>1200000</v>
      </c>
      <c r="AG6" s="4"/>
      <c r="AH6" s="5"/>
      <c r="AI6" s="6">
        <f>(AF6+AH6*AG6)/SUM(AF$14:AG$93)</f>
        <v>0.20202020202020202</v>
      </c>
      <c r="AJ6" s="3">
        <v>1176000</v>
      </c>
      <c r="AK6" s="25">
        <f t="shared" ref="AK6:AK12" si="10">(AJ6-AF6-AG6)/(AF6+AH6*AG6)</f>
        <v>-0.02</v>
      </c>
      <c r="AL6" s="19">
        <f t="shared" ref="AL6:AL12" si="11">AJ6</f>
        <v>1176000</v>
      </c>
      <c r="AM6" s="20"/>
      <c r="AN6" s="21"/>
      <c r="AO6" s="22">
        <f>(AL6+AN6*AM6)/SUM(AL$14:AM$93)</f>
        <v>0.19811320754716982</v>
      </c>
      <c r="AP6" s="19">
        <v>1179000</v>
      </c>
      <c r="AQ6" s="23">
        <f>(AP6-AL6-AM6)/(AL6+AN6*AM6)</f>
        <v>2.5510204081632651E-3</v>
      </c>
      <c r="AR6" s="3">
        <f t="shared" ref="AR6:AR12" si="12">AP6</f>
        <v>1179000</v>
      </c>
      <c r="AS6" s="4"/>
      <c r="AT6" s="5"/>
      <c r="AU6" s="6">
        <f>(AR6+AT6*AS6)/SUM(AR$14:AS$93)</f>
        <v>0.19702540106951871</v>
      </c>
      <c r="AV6" s="3">
        <v>1176000</v>
      </c>
      <c r="AW6" s="25">
        <f t="shared" ref="AW6:AW12" si="13">(AV6-AR6-AS6)/(AR6+AT6*AS6)</f>
        <v>-2.5445292620865142E-3</v>
      </c>
      <c r="AX6" s="19">
        <f t="shared" ref="AX6:AX12" si="14">AV6</f>
        <v>1176000</v>
      </c>
      <c r="AY6" s="20"/>
      <c r="AZ6" s="21"/>
      <c r="BA6" s="22">
        <f>(AX6+AZ6*AY6)/SUM(AX$14:AY$93)</f>
        <v>0.19508958195089582</v>
      </c>
      <c r="BB6" s="19">
        <v>1185000</v>
      </c>
      <c r="BC6" s="23">
        <f>(BB6-AX6-AY6)/(AX6+AZ6*AY6)</f>
        <v>7.6530612244897957E-3</v>
      </c>
      <c r="BD6" s="3">
        <f t="shared" ref="BD6:BD12" si="15">BB6</f>
        <v>1185000</v>
      </c>
      <c r="BE6" s="4"/>
      <c r="BF6" s="5"/>
      <c r="BG6" s="6">
        <f>(BD6+BF6*BE6)/SUM(BD$14:BE$93)</f>
        <v>0.19531893851986154</v>
      </c>
      <c r="BH6" s="3">
        <v>1190000</v>
      </c>
      <c r="BI6" s="25">
        <f t="shared" ref="BI6:BI12" si="16">(BH6-BD6-BE6)/(BD6+BF6*BE6)</f>
        <v>4.2194092827004216E-3</v>
      </c>
      <c r="BJ6" s="19">
        <f t="shared" ref="BJ6:BJ12" si="17">BH6</f>
        <v>1190000</v>
      </c>
      <c r="BK6" s="20"/>
      <c r="BL6" s="21"/>
      <c r="BM6" s="22">
        <f>(BJ6+BL6*BK6)/SUM(BJ$14:BK$93)</f>
        <v>0.19460343417825021</v>
      </c>
      <c r="BN6" s="19">
        <v>1195000</v>
      </c>
      <c r="BO6" s="23">
        <f>(BN6-BJ6-BK6)/(BJ6+BL6*BK6)</f>
        <v>4.2016806722689074E-3</v>
      </c>
      <c r="BP6" s="3">
        <f t="shared" ref="BP6:BP12" si="18">BN6</f>
        <v>1195000</v>
      </c>
      <c r="BQ6" s="4"/>
      <c r="BR6" s="5"/>
      <c r="BS6" s="6">
        <f>(BP6+BR6*BQ6)/SUM(BP$14:BQ$93)</f>
        <v>0.19181380417335472</v>
      </c>
      <c r="BT6" s="3">
        <v>1197000</v>
      </c>
      <c r="BU6" s="25">
        <f t="shared" ref="BU6:BU12" si="19">(BT6-BP6-BQ6)/(BP6+BR6*BQ6)</f>
        <v>1.6736401673640166E-3</v>
      </c>
      <c r="BV6" s="6">
        <f t="array" ref="BV6">PRODUCT(1+G7:BU7)-1</f>
        <v>-4.2058694365417093E-2</v>
      </c>
    </row>
    <row r="7" spans="1:74" hidden="1" x14ac:dyDescent="0.25">
      <c r="A7" s="2"/>
      <c r="B7" s="19"/>
      <c r="C7" s="20"/>
      <c r="D7" s="21"/>
      <c r="E7" s="22">
        <f t="shared" si="0"/>
        <v>0</v>
      </c>
      <c r="F7" s="19"/>
      <c r="G7" s="32">
        <f>G6</f>
        <v>9.9598393574297193E-3</v>
      </c>
      <c r="H7" s="3"/>
      <c r="I7" s="4"/>
      <c r="J7" s="5"/>
      <c r="K7" s="6">
        <f t="shared" si="2"/>
        <v>0</v>
      </c>
      <c r="L7" s="3"/>
      <c r="M7" s="32">
        <f>M6</f>
        <v>7.9239302694136295E-4</v>
      </c>
      <c r="N7" s="19"/>
      <c r="O7" s="20"/>
      <c r="P7" s="21"/>
      <c r="Q7" s="22">
        <f t="shared" si="5"/>
        <v>0</v>
      </c>
      <c r="R7" s="19"/>
      <c r="S7" s="32">
        <f>S6</f>
        <v>-5.5423594615993665E-3</v>
      </c>
      <c r="T7" s="3"/>
      <c r="U7" s="4"/>
      <c r="V7" s="5"/>
      <c r="W7" s="6"/>
      <c r="X7" s="3"/>
      <c r="Y7" s="32">
        <f>Y6</f>
        <v>-4.7770700636942673E-3</v>
      </c>
      <c r="Z7" s="19"/>
      <c r="AA7" s="20"/>
      <c r="AB7" s="21"/>
      <c r="AC7" s="22"/>
      <c r="AD7" s="19"/>
      <c r="AE7" s="32">
        <f>AE6</f>
        <v>-0.04</v>
      </c>
      <c r="AF7" s="3"/>
      <c r="AG7" s="4"/>
      <c r="AH7" s="5"/>
      <c r="AI7" s="6"/>
      <c r="AJ7" s="3"/>
      <c r="AK7" s="32">
        <f>AK6</f>
        <v>-0.02</v>
      </c>
      <c r="AL7" s="19"/>
      <c r="AM7" s="20"/>
      <c r="AN7" s="21"/>
      <c r="AO7" s="22"/>
      <c r="AP7" s="19"/>
      <c r="AQ7" s="32">
        <f>AQ6</f>
        <v>2.5510204081632651E-3</v>
      </c>
      <c r="AR7" s="3"/>
      <c r="AS7" s="4"/>
      <c r="AT7" s="5"/>
      <c r="AU7" s="6"/>
      <c r="AV7" s="3"/>
      <c r="AW7" s="32">
        <f>AW6</f>
        <v>-2.5445292620865142E-3</v>
      </c>
      <c r="AX7" s="19"/>
      <c r="AY7" s="20"/>
      <c r="AZ7" s="21"/>
      <c r="BA7" s="22"/>
      <c r="BB7" s="19"/>
      <c r="BC7" s="32">
        <f>BC6</f>
        <v>7.6530612244897957E-3</v>
      </c>
      <c r="BD7" s="3"/>
      <c r="BE7" s="4"/>
      <c r="BF7" s="5"/>
      <c r="BG7" s="6"/>
      <c r="BH7" s="3"/>
      <c r="BI7" s="32">
        <f>BI6</f>
        <v>4.2194092827004216E-3</v>
      </c>
      <c r="BJ7" s="19"/>
      <c r="BK7" s="20"/>
      <c r="BL7" s="21"/>
      <c r="BM7" s="22"/>
      <c r="BN7" s="19"/>
      <c r="BO7" s="32">
        <f>BO6</f>
        <v>4.2016806722689074E-3</v>
      </c>
      <c r="BP7" s="3"/>
      <c r="BQ7" s="4"/>
      <c r="BR7" s="5"/>
      <c r="BS7" s="6"/>
      <c r="BT7" s="3"/>
      <c r="BU7" s="32">
        <f>BU6</f>
        <v>1.6736401673640166E-3</v>
      </c>
      <c r="BV7" s="2"/>
    </row>
    <row r="8" spans="1:74" x14ac:dyDescent="0.25">
      <c r="A8" s="2" t="s">
        <v>1</v>
      </c>
      <c r="B8" s="19">
        <v>1170000</v>
      </c>
      <c r="C8" s="20"/>
      <c r="D8" s="20"/>
      <c r="E8" s="22">
        <f t="shared" si="0"/>
        <v>0.19735553379040158</v>
      </c>
      <c r="F8" s="19">
        <v>1175000</v>
      </c>
      <c r="G8" s="23">
        <f>(F8-B8-C8)/(B8+D8*C8)</f>
        <v>4.2735042735042739E-3</v>
      </c>
      <c r="H8" s="3">
        <f t="shared" si="1"/>
        <v>1175000</v>
      </c>
      <c r="I8" s="4">
        <v>100000</v>
      </c>
      <c r="J8" s="6">
        <f>(28-2)/28</f>
        <v>0.9285714285714286</v>
      </c>
      <c r="K8" s="6">
        <f t="shared" si="2"/>
        <v>0.20906210616821552</v>
      </c>
      <c r="L8" s="3">
        <v>1280000</v>
      </c>
      <c r="M8" s="25">
        <f t="shared" si="3"/>
        <v>3.9436619718309857E-3</v>
      </c>
      <c r="N8" s="19">
        <f t="shared" si="4"/>
        <v>1280000</v>
      </c>
      <c r="O8" s="20"/>
      <c r="P8" s="20"/>
      <c r="Q8" s="22">
        <f t="shared" si="5"/>
        <v>0.20671834625322996</v>
      </c>
      <c r="R8" s="19">
        <v>1270000</v>
      </c>
      <c r="S8" s="23">
        <f>(R8-N8-O8)/(N8+P8*O8)</f>
        <v>-7.8125E-3</v>
      </c>
      <c r="T8" s="3">
        <f t="shared" si="6"/>
        <v>1270000</v>
      </c>
      <c r="U8" s="4"/>
      <c r="V8" s="6"/>
      <c r="W8" s="6">
        <f>(T8+V8*U8)/SUM(T$14:U$93)</f>
        <v>0.20636091991110583</v>
      </c>
      <c r="X8" s="3">
        <v>1255000</v>
      </c>
      <c r="Y8" s="25">
        <f t="shared" si="7"/>
        <v>-1.1811023622047244E-2</v>
      </c>
      <c r="Z8" s="19">
        <f t="shared" si="8"/>
        <v>1255000</v>
      </c>
      <c r="AA8" s="20"/>
      <c r="AB8" s="20"/>
      <c r="AC8" s="22">
        <f>(Z8+AB8*AA8)/SUM(Z$14:AA$93)</f>
        <v>0.20573770491803278</v>
      </c>
      <c r="AD8" s="19">
        <v>1230000</v>
      </c>
      <c r="AE8" s="23">
        <f>(AD8-Z8-AA8)/(Z8+AB8*AA8)</f>
        <v>-1.9920318725099601E-2</v>
      </c>
      <c r="AF8" s="3">
        <f t="shared" si="9"/>
        <v>1230000</v>
      </c>
      <c r="AG8" s="4"/>
      <c r="AH8" s="6"/>
      <c r="AI8" s="6">
        <f>(AF8+AH8*AG8)/SUM(AF$14:AG$93)</f>
        <v>0.20707070707070707</v>
      </c>
      <c r="AJ8" s="3">
        <v>1240000</v>
      </c>
      <c r="AK8" s="25">
        <f t="shared" si="10"/>
        <v>8.130081300813009E-3</v>
      </c>
      <c r="AL8" s="19">
        <f t="shared" si="11"/>
        <v>1240000</v>
      </c>
      <c r="AM8" s="20"/>
      <c r="AN8" s="20"/>
      <c r="AO8" s="22">
        <f>(AL8+AN8*AM8)/SUM(AL$14:AM$93)</f>
        <v>0.20889487870619947</v>
      </c>
      <c r="AP8" s="19">
        <v>1250000</v>
      </c>
      <c r="AQ8" s="23">
        <f>(AP8-AL8-AM8)/(AL8+AN8*AM8)</f>
        <v>8.0645161290322578E-3</v>
      </c>
      <c r="AR8" s="3">
        <f t="shared" si="12"/>
        <v>1250000</v>
      </c>
      <c r="AS8" s="4"/>
      <c r="AT8" s="6"/>
      <c r="AU8" s="6">
        <f>(AR8+AT8*AS8)/SUM(AR$14:AS$93)</f>
        <v>0.2088903743315508</v>
      </c>
      <c r="AV8" s="3">
        <v>1230000</v>
      </c>
      <c r="AW8" s="25">
        <f t="shared" si="13"/>
        <v>-1.6E-2</v>
      </c>
      <c r="AX8" s="19">
        <f t="shared" si="14"/>
        <v>1230000</v>
      </c>
      <c r="AY8" s="20"/>
      <c r="AZ8" s="20"/>
      <c r="BA8" s="22">
        <f>(AX8+AZ8*AY8)/SUM(AX$14:AY$93)</f>
        <v>0.20404777704047777</v>
      </c>
      <c r="BB8" s="19">
        <v>1240000</v>
      </c>
      <c r="BC8" s="23">
        <f>(BB8-AX8-AY8)/(AX8+AZ8*AY8)</f>
        <v>8.130081300813009E-3</v>
      </c>
      <c r="BD8" s="3">
        <f t="shared" si="15"/>
        <v>1240000</v>
      </c>
      <c r="BE8" s="4"/>
      <c r="BF8" s="6"/>
      <c r="BG8" s="6">
        <f>(BD8+BF8*BE8)/SUM(BD$14:BE$93)</f>
        <v>0.20438437448491842</v>
      </c>
      <c r="BH8" s="3">
        <v>1250000</v>
      </c>
      <c r="BI8" s="25">
        <f t="shared" si="16"/>
        <v>8.0645161290322578E-3</v>
      </c>
      <c r="BJ8" s="19">
        <f t="shared" si="17"/>
        <v>1250000</v>
      </c>
      <c r="BK8" s="20"/>
      <c r="BL8" s="20"/>
      <c r="BM8" s="22">
        <f>(BJ8+BL8*BK8)/SUM(BJ$14:BK$93)</f>
        <v>0.20441537203597709</v>
      </c>
      <c r="BN8" s="19">
        <v>1260000</v>
      </c>
      <c r="BO8" s="23">
        <f>(BN8-BJ8-BK8)/(BJ8+BL8*BK8)</f>
        <v>8.0000000000000002E-3</v>
      </c>
      <c r="BP8" s="3">
        <f t="shared" si="18"/>
        <v>1260000</v>
      </c>
      <c r="BQ8" s="4"/>
      <c r="BR8" s="6"/>
      <c r="BS8" s="6">
        <f>(BP8+BR8*BQ8)/SUM(BP$14:BQ$93)</f>
        <v>0.20224719101123595</v>
      </c>
      <c r="BT8" s="3">
        <v>1261000</v>
      </c>
      <c r="BU8" s="25">
        <f t="shared" si="19"/>
        <v>7.9365079365079365E-4</v>
      </c>
      <c r="BV8" s="6">
        <f t="array" ref="BV8">PRODUCT(1+G9:BU9)-1</f>
        <v>-6.7319542253522213E-3</v>
      </c>
    </row>
    <row r="9" spans="1:74" hidden="1" x14ac:dyDescent="0.25">
      <c r="A9" s="2"/>
      <c r="B9" s="19"/>
      <c r="C9" s="20"/>
      <c r="D9" s="20"/>
      <c r="E9" s="22">
        <f t="shared" si="0"/>
        <v>0</v>
      </c>
      <c r="F9" s="19"/>
      <c r="G9" s="32">
        <f>G8</f>
        <v>4.2735042735042739E-3</v>
      </c>
      <c r="H9" s="3"/>
      <c r="I9" s="4"/>
      <c r="J9" s="6"/>
      <c r="K9" s="6">
        <f t="shared" si="2"/>
        <v>0</v>
      </c>
      <c r="L9" s="3"/>
      <c r="M9" s="32">
        <f>M8</f>
        <v>3.9436619718309857E-3</v>
      </c>
      <c r="N9" s="19"/>
      <c r="O9" s="20"/>
      <c r="P9" s="20"/>
      <c r="Q9" s="22">
        <f t="shared" si="5"/>
        <v>0</v>
      </c>
      <c r="R9" s="19"/>
      <c r="S9" s="32">
        <f>S8</f>
        <v>-7.8125E-3</v>
      </c>
      <c r="T9" s="3"/>
      <c r="U9" s="4"/>
      <c r="V9" s="6"/>
      <c r="W9" s="6"/>
      <c r="X9" s="3"/>
      <c r="Y9" s="32">
        <f>Y8</f>
        <v>-1.1811023622047244E-2</v>
      </c>
      <c r="Z9" s="19"/>
      <c r="AA9" s="20"/>
      <c r="AB9" s="20"/>
      <c r="AC9" s="22"/>
      <c r="AD9" s="19"/>
      <c r="AE9" s="32">
        <f>AE8</f>
        <v>-1.9920318725099601E-2</v>
      </c>
      <c r="AF9" s="3"/>
      <c r="AG9" s="4"/>
      <c r="AH9" s="6"/>
      <c r="AI9" s="6"/>
      <c r="AJ9" s="3"/>
      <c r="AK9" s="32">
        <f>AK8</f>
        <v>8.130081300813009E-3</v>
      </c>
      <c r="AL9" s="19"/>
      <c r="AM9" s="20"/>
      <c r="AN9" s="20"/>
      <c r="AO9" s="22"/>
      <c r="AP9" s="19"/>
      <c r="AQ9" s="32">
        <f>AQ8</f>
        <v>8.0645161290322578E-3</v>
      </c>
      <c r="AR9" s="3"/>
      <c r="AS9" s="4"/>
      <c r="AT9" s="6"/>
      <c r="AU9" s="6"/>
      <c r="AV9" s="3"/>
      <c r="AW9" s="32">
        <f>AW8</f>
        <v>-1.6E-2</v>
      </c>
      <c r="AX9" s="19"/>
      <c r="AY9" s="20"/>
      <c r="AZ9" s="20"/>
      <c r="BA9" s="22"/>
      <c r="BB9" s="19"/>
      <c r="BC9" s="32">
        <f>BC8</f>
        <v>8.130081300813009E-3</v>
      </c>
      <c r="BD9" s="3"/>
      <c r="BE9" s="4"/>
      <c r="BF9" s="6"/>
      <c r="BG9" s="6"/>
      <c r="BH9" s="3"/>
      <c r="BI9" s="32">
        <f>BI8</f>
        <v>8.0645161290322578E-3</v>
      </c>
      <c r="BJ9" s="19"/>
      <c r="BK9" s="20"/>
      <c r="BL9" s="20"/>
      <c r="BM9" s="22"/>
      <c r="BN9" s="19"/>
      <c r="BO9" s="32">
        <f>BO8</f>
        <v>8.0000000000000002E-3</v>
      </c>
      <c r="BP9" s="3"/>
      <c r="BQ9" s="4"/>
      <c r="BR9" s="6"/>
      <c r="BS9" s="6"/>
      <c r="BT9" s="3"/>
      <c r="BU9" s="32">
        <f>BU8</f>
        <v>7.9365079365079365E-4</v>
      </c>
      <c r="BV9" s="2"/>
    </row>
    <row r="10" spans="1:74" x14ac:dyDescent="0.25">
      <c r="A10" s="2" t="s">
        <v>4</v>
      </c>
      <c r="B10" s="19">
        <v>1200000</v>
      </c>
      <c r="C10" s="20"/>
      <c r="D10" s="20"/>
      <c r="E10" s="22">
        <f t="shared" si="0"/>
        <v>0.20241593209271955</v>
      </c>
      <c r="F10" s="19">
        <v>1205000</v>
      </c>
      <c r="G10" s="23">
        <f>(F10-B10-C10)/(B10+D10*C10)</f>
        <v>4.1666666666666666E-3</v>
      </c>
      <c r="H10" s="3">
        <f t="shared" si="1"/>
        <v>1205000</v>
      </c>
      <c r="I10" s="4"/>
      <c r="J10" s="4"/>
      <c r="K10" s="6">
        <f t="shared" si="2"/>
        <v>0.19869733696100256</v>
      </c>
      <c r="L10" s="3">
        <v>1215000</v>
      </c>
      <c r="M10" s="25">
        <f t="shared" si="3"/>
        <v>8.2987551867219917E-3</v>
      </c>
      <c r="N10" s="19">
        <f t="shared" si="4"/>
        <v>1215000</v>
      </c>
      <c r="O10" s="20"/>
      <c r="P10" s="20"/>
      <c r="Q10" s="22">
        <f t="shared" si="5"/>
        <v>0.19622093023255813</v>
      </c>
      <c r="R10" s="19">
        <f>(1+S6)*N10</f>
        <v>1208266.0332541568</v>
      </c>
      <c r="S10" s="23">
        <f>(R10-N10-O10)/(N10+P10*O10)</f>
        <v>-5.5423594615993249E-3</v>
      </c>
      <c r="T10" s="3">
        <f t="shared" si="6"/>
        <v>1208266.0332541568</v>
      </c>
      <c r="U10" s="4"/>
      <c r="V10" s="4"/>
      <c r="W10" s="6">
        <f>(T10+V10*U10)/SUM(T$14:U$93)</f>
        <v>0.1963298347398981</v>
      </c>
      <c r="X10" s="3">
        <v>1200000</v>
      </c>
      <c r="Y10" s="25">
        <f t="shared" si="7"/>
        <v>-6.8412361405992394E-3</v>
      </c>
      <c r="Z10" s="19">
        <f t="shared" si="8"/>
        <v>1200000</v>
      </c>
      <c r="AA10" s="20"/>
      <c r="AB10" s="20"/>
      <c r="AC10" s="22">
        <f>(Z10+AB10*AA10)/SUM(Z$14:AA$93)</f>
        <v>0.19672131147540983</v>
      </c>
      <c r="AD10" s="19">
        <v>1150000</v>
      </c>
      <c r="AE10" s="23">
        <f>(AD10-Z10-AA10)/(Z10+AB10*AA10)</f>
        <v>-4.1666666666666664E-2</v>
      </c>
      <c r="AF10" s="3">
        <f t="shared" si="9"/>
        <v>1150000</v>
      </c>
      <c r="AG10" s="4"/>
      <c r="AH10" s="4"/>
      <c r="AI10" s="6">
        <f>(AF10+AH10*AG10)/SUM(AF$14:AG$93)</f>
        <v>0.19360269360269361</v>
      </c>
      <c r="AJ10" s="3">
        <v>1160000</v>
      </c>
      <c r="AK10" s="25">
        <f t="shared" si="10"/>
        <v>8.6956521739130436E-3</v>
      </c>
      <c r="AL10" s="19">
        <f t="shared" si="11"/>
        <v>1160000</v>
      </c>
      <c r="AM10" s="20"/>
      <c r="AN10" s="20"/>
      <c r="AO10" s="22">
        <f>(AL10+AN10*AM10)/SUM(AL$14:AM$93)</f>
        <v>0.19541778975741239</v>
      </c>
      <c r="AP10" s="19">
        <v>1180000</v>
      </c>
      <c r="AQ10" s="23">
        <f>(AP10-AL10-AM10)/(AL10+AN10*AM10)</f>
        <v>1.7241379310344827E-2</v>
      </c>
      <c r="AR10" s="3">
        <f t="shared" si="12"/>
        <v>1180000</v>
      </c>
      <c r="AS10" s="4"/>
      <c r="AT10" s="4"/>
      <c r="AU10" s="6">
        <f>(AR10+AT10*AS10)/SUM(AR$14:AS$93)</f>
        <v>0.19719251336898397</v>
      </c>
      <c r="AV10" s="3">
        <v>1227000</v>
      </c>
      <c r="AW10" s="25">
        <f t="shared" si="13"/>
        <v>3.9830508474576268E-2</v>
      </c>
      <c r="AX10" s="19">
        <f t="shared" si="14"/>
        <v>1227000</v>
      </c>
      <c r="AY10" s="20"/>
      <c r="AZ10" s="20"/>
      <c r="BA10" s="22">
        <f>(AX10+AZ10*AY10)/SUM(AX$14:AY$93)</f>
        <v>0.20355009953550099</v>
      </c>
      <c r="BB10" s="19">
        <v>1240000</v>
      </c>
      <c r="BC10" s="23">
        <f>(BB10-AX10-AY10)/(AX10+AZ10*AY10)</f>
        <v>1.0594947025264874E-2</v>
      </c>
      <c r="BD10" s="3">
        <f t="shared" si="15"/>
        <v>1240000</v>
      </c>
      <c r="BE10" s="4">
        <v>15000</v>
      </c>
      <c r="BF10" s="6">
        <f>(31-10+1)/31</f>
        <v>0.70967741935483875</v>
      </c>
      <c r="BG10" s="6">
        <f>(BD10+BF10*BE10)/SUM(BD$14:BE$93)</f>
        <v>0.20613897499428427</v>
      </c>
      <c r="BH10" s="3">
        <v>1260000</v>
      </c>
      <c r="BI10" s="25">
        <f t="shared" si="16"/>
        <v>3.9979365488779983E-3</v>
      </c>
      <c r="BJ10" s="19">
        <f t="shared" si="17"/>
        <v>1260000</v>
      </c>
      <c r="BK10" s="20"/>
      <c r="BL10" s="20"/>
      <c r="BM10" s="22">
        <f>(BJ10+BL10*BK10)/SUM(BJ$14:BK$93)</f>
        <v>0.20605069501226492</v>
      </c>
      <c r="BN10" s="19">
        <v>1275000</v>
      </c>
      <c r="BO10" s="23">
        <f>(BN10-BJ10-BK10)/(BJ10+BL10*BK10)</f>
        <v>1.1904761904761904E-2</v>
      </c>
      <c r="BP10" s="3">
        <f t="shared" si="18"/>
        <v>1275000</v>
      </c>
      <c r="BQ10" s="4"/>
      <c r="BR10" s="6"/>
      <c r="BS10" s="6">
        <f>(BP10+BR10*BQ10)/SUM(BP$14:BQ$93)</f>
        <v>0.20465489566613163</v>
      </c>
      <c r="BT10" s="3">
        <v>1276000</v>
      </c>
      <c r="BU10" s="25">
        <f t="shared" si="19"/>
        <v>7.8431372549019605E-4</v>
      </c>
      <c r="BV10" s="6">
        <f t="array" ref="BV10">PRODUCT(1+G11:BU11)-1</f>
        <v>5.0638687252047676E-2</v>
      </c>
    </row>
    <row r="11" spans="1:74" hidden="1" x14ac:dyDescent="0.25">
      <c r="A11" s="2"/>
      <c r="B11" s="19"/>
      <c r="C11" s="20"/>
      <c r="D11" s="20"/>
      <c r="E11" s="22">
        <f t="shared" si="0"/>
        <v>0</v>
      </c>
      <c r="F11" s="19"/>
      <c r="G11" s="32">
        <f>G10</f>
        <v>4.1666666666666666E-3</v>
      </c>
      <c r="H11" s="3"/>
      <c r="I11" s="4"/>
      <c r="J11" s="4"/>
      <c r="K11" s="6">
        <f t="shared" si="2"/>
        <v>0</v>
      </c>
      <c r="L11" s="3"/>
      <c r="M11" s="32">
        <f>M10</f>
        <v>8.2987551867219917E-3</v>
      </c>
      <c r="N11" s="19"/>
      <c r="O11" s="20"/>
      <c r="P11" s="20"/>
      <c r="Q11" s="22">
        <f t="shared" si="5"/>
        <v>0</v>
      </c>
      <c r="R11" s="19"/>
      <c r="S11" s="32">
        <f>S10</f>
        <v>-5.5423594615993249E-3</v>
      </c>
      <c r="T11" s="3"/>
      <c r="U11" s="4"/>
      <c r="V11" s="4"/>
      <c r="W11" s="6"/>
      <c r="X11" s="3"/>
      <c r="Y11" s="32">
        <f>Y10</f>
        <v>-6.8412361405992394E-3</v>
      </c>
      <c r="Z11" s="19"/>
      <c r="AA11" s="20"/>
      <c r="AB11" s="20"/>
      <c r="AC11" s="22"/>
      <c r="AD11" s="19"/>
      <c r="AE11" s="32">
        <f>AE10</f>
        <v>-4.1666666666666664E-2</v>
      </c>
      <c r="AF11" s="3"/>
      <c r="AG11" s="4"/>
      <c r="AH11" s="4"/>
      <c r="AI11" s="6"/>
      <c r="AJ11" s="3"/>
      <c r="AK11" s="32">
        <f>AK10</f>
        <v>8.6956521739130436E-3</v>
      </c>
      <c r="AL11" s="19"/>
      <c r="AM11" s="20"/>
      <c r="AN11" s="20"/>
      <c r="AO11" s="22"/>
      <c r="AP11" s="19"/>
      <c r="AQ11" s="32">
        <f>AQ10</f>
        <v>1.7241379310344827E-2</v>
      </c>
      <c r="AR11" s="3"/>
      <c r="AS11" s="4"/>
      <c r="AT11" s="4"/>
      <c r="AU11" s="6"/>
      <c r="AV11" s="3"/>
      <c r="AW11" s="32">
        <f>AW10</f>
        <v>3.9830508474576268E-2</v>
      </c>
      <c r="AX11" s="19"/>
      <c r="AY11" s="20"/>
      <c r="AZ11" s="20"/>
      <c r="BA11" s="22"/>
      <c r="BB11" s="19"/>
      <c r="BC11" s="32">
        <f>BC10</f>
        <v>1.0594947025264874E-2</v>
      </c>
      <c r="BD11" s="3"/>
      <c r="BE11" s="4"/>
      <c r="BF11" s="6"/>
      <c r="BG11" s="6"/>
      <c r="BH11" s="3"/>
      <c r="BI11" s="32">
        <f>BI10</f>
        <v>3.9979365488779983E-3</v>
      </c>
      <c r="BJ11" s="19"/>
      <c r="BK11" s="20"/>
      <c r="BL11" s="20"/>
      <c r="BM11" s="22"/>
      <c r="BN11" s="19"/>
      <c r="BO11" s="32">
        <f>BO10</f>
        <v>1.1904761904761904E-2</v>
      </c>
      <c r="BP11" s="3"/>
      <c r="BQ11" s="4"/>
      <c r="BR11" s="6"/>
      <c r="BS11" s="6"/>
      <c r="BT11" s="3"/>
      <c r="BU11" s="32">
        <f>BU10</f>
        <v>7.8431372549019605E-4</v>
      </c>
      <c r="BV11" s="2"/>
    </row>
    <row r="12" spans="1:74" x14ac:dyDescent="0.25">
      <c r="A12" s="2" t="s">
        <v>5</v>
      </c>
      <c r="B12" s="19">
        <v>1210000</v>
      </c>
      <c r="C12" s="20"/>
      <c r="D12" s="20"/>
      <c r="E12" s="22">
        <f t="shared" si="0"/>
        <v>0.20410273152682556</v>
      </c>
      <c r="F12" s="19">
        <v>1217000</v>
      </c>
      <c r="G12" s="23">
        <f>(F12-B12-C12)/(B12+D12*C12)</f>
        <v>5.7851239669421484E-3</v>
      </c>
      <c r="H12" s="3">
        <f t="shared" si="1"/>
        <v>1217000</v>
      </c>
      <c r="I12" s="4"/>
      <c r="J12" s="4"/>
      <c r="K12" s="6">
        <f t="shared" si="2"/>
        <v>0.2006760656278341</v>
      </c>
      <c r="L12" s="3">
        <v>1228000</v>
      </c>
      <c r="M12" s="25">
        <f t="shared" si="3"/>
        <v>9.0386195562859491E-3</v>
      </c>
      <c r="N12" s="19">
        <f t="shared" si="4"/>
        <v>1228000</v>
      </c>
      <c r="O12" s="20"/>
      <c r="P12" s="20"/>
      <c r="Q12" s="22">
        <f t="shared" si="5"/>
        <v>0.19832041343669252</v>
      </c>
      <c r="R12" s="19">
        <v>1220000</v>
      </c>
      <c r="S12" s="23">
        <f>(R12-N12-O12)/(N12+P12*O12)</f>
        <v>-6.5146579804560263E-3</v>
      </c>
      <c r="T12" s="3">
        <f t="shared" si="6"/>
        <v>1220000</v>
      </c>
      <c r="U12" s="4"/>
      <c r="V12" s="4"/>
      <c r="W12" s="6">
        <f>(T12+V12*U12)/SUM(T$14:U$93)</f>
        <v>0.19823647424531426</v>
      </c>
      <c r="X12" s="3">
        <v>1210000</v>
      </c>
      <c r="Y12" s="25">
        <f t="shared" si="7"/>
        <v>-8.1967213114754103E-3</v>
      </c>
      <c r="Z12" s="19">
        <f t="shared" si="8"/>
        <v>1210000</v>
      </c>
      <c r="AA12" s="20"/>
      <c r="AB12" s="20"/>
      <c r="AC12" s="22">
        <f>(Z12+AB12*AA12)/SUM(Z$14:AA$93)</f>
        <v>0.19836065573770492</v>
      </c>
      <c r="AD12" s="19">
        <v>1180000</v>
      </c>
      <c r="AE12" s="23">
        <f>(AD12-Z12-AA12)/(Z12+AB12*AA12)</f>
        <v>-2.4793388429752067E-2</v>
      </c>
      <c r="AF12" s="3">
        <f t="shared" si="9"/>
        <v>1180000</v>
      </c>
      <c r="AG12" s="4"/>
      <c r="AH12" s="4"/>
      <c r="AI12" s="6">
        <f>(AF12+AH12*AG12)/SUM(AF$14:AG$93)</f>
        <v>0.19865319865319866</v>
      </c>
      <c r="AJ12" s="3">
        <v>1190000</v>
      </c>
      <c r="AK12" s="25">
        <f t="shared" si="10"/>
        <v>8.4745762711864406E-3</v>
      </c>
      <c r="AL12" s="19">
        <f t="shared" si="11"/>
        <v>1190000</v>
      </c>
      <c r="AM12" s="20"/>
      <c r="AN12" s="20"/>
      <c r="AO12" s="22">
        <f>(AL12+AN12*AM12)/SUM(AL$14:AM$93)</f>
        <v>0.20047169811320756</v>
      </c>
      <c r="AP12" s="19">
        <v>1200000</v>
      </c>
      <c r="AQ12" s="23">
        <f>(AP12-AL12-AM12)/(AL12+AN12*AM12)</f>
        <v>8.4033613445378148E-3</v>
      </c>
      <c r="AR12" s="3">
        <f t="shared" si="12"/>
        <v>1200000</v>
      </c>
      <c r="AS12" s="4"/>
      <c r="AT12" s="4"/>
      <c r="AU12" s="6">
        <f>(AR12+AT12*AS12)/SUM(AR$14:AS$93)</f>
        <v>0.20053475935828877</v>
      </c>
      <c r="AV12" s="3">
        <v>1234000</v>
      </c>
      <c r="AW12" s="25">
        <f t="shared" si="13"/>
        <v>2.8333333333333332E-2</v>
      </c>
      <c r="AX12" s="19">
        <f t="shared" si="14"/>
        <v>1234000</v>
      </c>
      <c r="AY12" s="20"/>
      <c r="AZ12" s="20"/>
      <c r="BA12" s="22">
        <f>(AX12+AZ12*AY12)/SUM(AX$14:AY$93)</f>
        <v>0.20471134704711347</v>
      </c>
      <c r="BB12" s="19">
        <v>1239000</v>
      </c>
      <c r="BC12" s="23">
        <f>(BB12-AX12-AY12)/(AX12+AZ12*AY12)</f>
        <v>4.0518638573743921E-3</v>
      </c>
      <c r="BD12" s="3">
        <f t="shared" si="15"/>
        <v>1239000</v>
      </c>
      <c r="BE12" s="4"/>
      <c r="BF12" s="4"/>
      <c r="BG12" s="6">
        <f>(BD12+BF12*BE12)/SUM(BD$14:BE$93)</f>
        <v>0.20421954837646283</v>
      </c>
      <c r="BH12" s="3">
        <v>1250000</v>
      </c>
      <c r="BI12" s="25">
        <f t="shared" si="16"/>
        <v>8.8781275221953195E-3</v>
      </c>
      <c r="BJ12" s="19">
        <f t="shared" si="17"/>
        <v>1250000</v>
      </c>
      <c r="BK12" s="20">
        <v>70000</v>
      </c>
      <c r="BL12" s="29">
        <f>(30-11+1)/30</f>
        <v>0.66666666666666663</v>
      </c>
      <c r="BM12" s="22">
        <f>(BJ12+BL12*BK12)/SUM(BJ$14:BK$93)</f>
        <v>0.21204687925865359</v>
      </c>
      <c r="BN12" s="19">
        <v>1330000</v>
      </c>
      <c r="BO12" s="23">
        <f>(BN12-BJ12-BK12)/(BJ12+BL12*BK12)</f>
        <v>7.7120822622107968E-3</v>
      </c>
      <c r="BP12" s="3">
        <f t="shared" si="18"/>
        <v>1330000</v>
      </c>
      <c r="BQ12" s="4"/>
      <c r="BR12" s="4"/>
      <c r="BS12" s="6">
        <f>(BP12+BR12*BQ12)/SUM(BP$14:BQ$93)</f>
        <v>0.21348314606741572</v>
      </c>
      <c r="BT12" s="3">
        <v>1331000</v>
      </c>
      <c r="BU12" s="25">
        <f t="shared" si="19"/>
        <v>7.5187969924812035E-4</v>
      </c>
      <c r="BV12" s="6">
        <f t="array" ref="BV12">PRODUCT(1+G13:BU13)-1</f>
        <v>4.1807603842511032E-2</v>
      </c>
    </row>
    <row r="13" spans="1:74" hidden="1" x14ac:dyDescent="0.25">
      <c r="A13" s="2"/>
      <c r="B13" s="19"/>
      <c r="C13" s="20"/>
      <c r="D13" s="20"/>
      <c r="E13" s="22"/>
      <c r="F13" s="19"/>
      <c r="G13" s="32">
        <f>G12</f>
        <v>5.7851239669421484E-3</v>
      </c>
      <c r="H13" s="3"/>
      <c r="I13" s="4"/>
      <c r="J13" s="4"/>
      <c r="K13" s="6"/>
      <c r="L13" s="3"/>
      <c r="M13" s="32">
        <f>M12</f>
        <v>9.0386195562859491E-3</v>
      </c>
      <c r="N13" s="19"/>
      <c r="O13" s="20"/>
      <c r="P13" s="20"/>
      <c r="Q13" s="22"/>
      <c r="R13" s="19"/>
      <c r="S13" s="32">
        <f>S12</f>
        <v>-6.5146579804560263E-3</v>
      </c>
      <c r="T13" s="3"/>
      <c r="U13" s="4"/>
      <c r="V13" s="4"/>
      <c r="W13" s="6"/>
      <c r="X13" s="3"/>
      <c r="Y13" s="32">
        <f>Y12</f>
        <v>-8.1967213114754103E-3</v>
      </c>
      <c r="Z13" s="19"/>
      <c r="AA13" s="20"/>
      <c r="AB13" s="20"/>
      <c r="AC13" s="22"/>
      <c r="AD13" s="19"/>
      <c r="AE13" s="32">
        <f>AE12</f>
        <v>-2.4793388429752067E-2</v>
      </c>
      <c r="AF13" s="3"/>
      <c r="AG13" s="4"/>
      <c r="AH13" s="4"/>
      <c r="AI13" s="6"/>
      <c r="AJ13" s="3"/>
      <c r="AK13" s="32">
        <f>AK12</f>
        <v>8.4745762711864406E-3</v>
      </c>
      <c r="AL13" s="19"/>
      <c r="AM13" s="20"/>
      <c r="AN13" s="20"/>
      <c r="AO13" s="22"/>
      <c r="AP13" s="19"/>
      <c r="AQ13" s="32">
        <f>AQ12</f>
        <v>8.4033613445378148E-3</v>
      </c>
      <c r="AR13" s="3"/>
      <c r="AS13" s="4"/>
      <c r="AT13" s="4"/>
      <c r="AU13" s="6"/>
      <c r="AV13" s="3"/>
      <c r="AW13" s="32">
        <f>AW12</f>
        <v>2.8333333333333332E-2</v>
      </c>
      <c r="AX13" s="19"/>
      <c r="AY13" s="20"/>
      <c r="AZ13" s="20"/>
      <c r="BA13" s="22"/>
      <c r="BB13" s="19"/>
      <c r="BC13" s="32">
        <f>BC12</f>
        <v>4.0518638573743921E-3</v>
      </c>
      <c r="BD13" s="3"/>
      <c r="BE13" s="4"/>
      <c r="BF13" s="4"/>
      <c r="BG13" s="6"/>
      <c r="BH13" s="3"/>
      <c r="BI13" s="32">
        <f>BI12</f>
        <v>8.8781275221953195E-3</v>
      </c>
      <c r="BJ13" s="19"/>
      <c r="BK13" s="20"/>
      <c r="BL13" s="29"/>
      <c r="BM13" s="22"/>
      <c r="BN13" s="19"/>
      <c r="BO13" s="32">
        <f>BO12</f>
        <v>7.7120822622107968E-3</v>
      </c>
      <c r="BP13" s="3"/>
      <c r="BQ13" s="4"/>
      <c r="BR13" s="4"/>
      <c r="BS13" s="6"/>
      <c r="BT13" s="3"/>
      <c r="BU13" s="32">
        <f>BU12</f>
        <v>7.5187969924812035E-4</v>
      </c>
      <c r="BV13" s="2"/>
    </row>
    <row r="14" spans="1:74" x14ac:dyDescent="0.25">
      <c r="A14" s="2" t="s">
        <v>6</v>
      </c>
      <c r="B14" s="19">
        <f>SUM(B4:B12)</f>
        <v>5830000</v>
      </c>
      <c r="C14" s="19">
        <f>C4*D4+C6*D6</f>
        <v>98387.096774193546</v>
      </c>
      <c r="D14" s="19"/>
      <c r="E14" s="24">
        <f>SUM(E4:E12)</f>
        <v>1</v>
      </c>
      <c r="F14" s="19">
        <f>SUM(F4:F12)</f>
        <v>6064500</v>
      </c>
      <c r="G14" s="23">
        <f>SUMPRODUCT(E4:E12,G4:G12)</f>
        <v>1.425345521819567E-2</v>
      </c>
      <c r="H14" s="3">
        <f>SUM(H4:H12)</f>
        <v>6064500</v>
      </c>
      <c r="I14" s="3">
        <f>I4*J4+I6*J6</f>
        <v>0</v>
      </c>
      <c r="J14" s="3"/>
      <c r="K14" s="7">
        <f>SUM(K4:K12)</f>
        <v>1.0153115908742918</v>
      </c>
      <c r="L14" s="3">
        <f>SUM(L4:L12)</f>
        <v>6192000</v>
      </c>
      <c r="M14" s="9">
        <f>SUMPRODUCT(K4:K12,M4:M12)</f>
        <v>4.53458652815566E-3</v>
      </c>
      <c r="N14" s="19">
        <f>SUM(N4:N12)</f>
        <v>6192000</v>
      </c>
      <c r="O14" s="19">
        <f>O4*P4+O6*P6</f>
        <v>0</v>
      </c>
      <c r="P14" s="19"/>
      <c r="Q14" s="24">
        <f>SUM(Q4:Q12)</f>
        <v>1</v>
      </c>
      <c r="R14" s="19">
        <f>SUM(R4:R12)</f>
        <v>6154266.0332541568</v>
      </c>
      <c r="S14" s="23">
        <f>SUMPRODUCT(Q4:Q12,S4:S12)</f>
        <v>-6.0939868775586534E-3</v>
      </c>
      <c r="T14" s="3">
        <f>SUM(T4:T12)</f>
        <v>6154266.0332541568</v>
      </c>
      <c r="U14" s="3">
        <f>U4*V4+U6*V6</f>
        <v>0</v>
      </c>
      <c r="V14" s="3"/>
      <c r="W14" s="7">
        <f>SUM(W4:W12)</f>
        <v>1</v>
      </c>
      <c r="X14" s="3">
        <f>SUM(X4:X12)</f>
        <v>6100000</v>
      </c>
      <c r="Y14" s="9">
        <f>SUMPRODUCT(W4:W12,Y4:Y12)</f>
        <v>-8.8176287734287092E-3</v>
      </c>
      <c r="Z14" s="19">
        <f>SUM(Z4:Z12)</f>
        <v>6100000</v>
      </c>
      <c r="AA14" s="19">
        <f>AA4*AB4+AA6*AB6</f>
        <v>0</v>
      </c>
      <c r="AB14" s="19"/>
      <c r="AC14" s="24">
        <f>SUM(AC4:AC12)</f>
        <v>1</v>
      </c>
      <c r="AD14" s="19">
        <f>SUM(AD4:AD12)</f>
        <v>5940000</v>
      </c>
      <c r="AE14" s="23">
        <f>SUMPRODUCT(AC4:AC12,AE4:AE12)</f>
        <v>-2.6229508196721311E-2</v>
      </c>
      <c r="AF14" s="3">
        <f>SUM(AF4:AF12)</f>
        <v>5940000</v>
      </c>
      <c r="AG14" s="3">
        <f>AG4*AH4+AG6*AH6</f>
        <v>0</v>
      </c>
      <c r="AH14" s="3"/>
      <c r="AI14" s="7">
        <f>SUM(AI4:AI12)</f>
        <v>0.99999999999999989</v>
      </c>
      <c r="AJ14" s="3">
        <f>SUM(AJ4:AJ12)</f>
        <v>5936000</v>
      </c>
      <c r="AK14" s="9">
        <f>SUMPRODUCT(AI4:AI12,AK4:AK12)</f>
        <v>-6.7340067340067311E-4</v>
      </c>
      <c r="AL14" s="19">
        <f>SUM(AL4:AL12)</f>
        <v>5936000</v>
      </c>
      <c r="AM14" s="19">
        <f>AM4*AN4+AM6*AN6</f>
        <v>0</v>
      </c>
      <c r="AN14" s="19"/>
      <c r="AO14" s="24">
        <f>SUM(AO4:AO12)</f>
        <v>1</v>
      </c>
      <c r="AP14" s="19">
        <f>SUM(AP4:AP12)</f>
        <v>5984000</v>
      </c>
      <c r="AQ14" s="23">
        <f>SUMPRODUCT(AO4:AO12,AQ4:AQ12)</f>
        <v>8.0862533692722376E-3</v>
      </c>
      <c r="AR14" s="3">
        <f>SUM(AR4:AR12)</f>
        <v>5984000</v>
      </c>
      <c r="AS14" s="3">
        <f>AS4*AT4+AS6*AT6</f>
        <v>0</v>
      </c>
      <c r="AT14" s="3"/>
      <c r="AU14" s="7">
        <f>SUM(AU4:AU12)</f>
        <v>1</v>
      </c>
      <c r="AV14" s="3">
        <f>SUM(AV4:AV12)</f>
        <v>6028000</v>
      </c>
      <c r="AW14" s="9">
        <f>SUMPRODUCT(AU4:AU12,AW4:AW12)</f>
        <v>7.3529411764705873E-3</v>
      </c>
      <c r="AX14" s="19">
        <f>SUM(AX4:AX12)</f>
        <v>6028000</v>
      </c>
      <c r="AY14" s="19">
        <f>AY4*AZ4+AY6*AZ6</f>
        <v>0</v>
      </c>
      <c r="AZ14" s="19"/>
      <c r="BA14" s="24">
        <f>SUM(BA4:BA12)</f>
        <v>1</v>
      </c>
      <c r="BB14" s="19">
        <f>SUM(BB4:BB12)</f>
        <v>6067000</v>
      </c>
      <c r="BC14" s="23">
        <f>SUMPRODUCT(BA4:BA12,BC4:BC12)</f>
        <v>6.4698075646980758E-3</v>
      </c>
      <c r="BD14" s="3">
        <f>SUM(BD4:BD12)</f>
        <v>6067000</v>
      </c>
      <c r="BE14" s="3">
        <f>BE4*BF4+BE6*BF6</f>
        <v>0</v>
      </c>
      <c r="BF14" s="3"/>
      <c r="BG14" s="7">
        <f>SUM(BG4:BG12)</f>
        <v>1.0017546005093658</v>
      </c>
      <c r="BH14" s="3">
        <f>SUM(BH4:BH12)</f>
        <v>6115000</v>
      </c>
      <c r="BI14" s="9">
        <f>SUMPRODUCT(BG4:BG12,BI4:BI12)</f>
        <v>5.4392615790341183E-3</v>
      </c>
      <c r="BJ14" s="19">
        <f>SUM(BJ4:BJ12)</f>
        <v>6115000</v>
      </c>
      <c r="BK14" s="19">
        <f>BK4*BL4+BK6*BL6</f>
        <v>0</v>
      </c>
      <c r="BL14" s="19"/>
      <c r="BM14" s="24">
        <f>SUM(BM4:BM12)</f>
        <v>1.0076315072226765</v>
      </c>
      <c r="BN14" s="19">
        <f>SUM(BN4:BN12)</f>
        <v>6230000</v>
      </c>
      <c r="BO14" s="23">
        <f>SUMPRODUCT(BM4:BM12,BO4:BO12)</f>
        <v>7.3589533932951756E-3</v>
      </c>
      <c r="BP14" s="3">
        <f>SUM(BP4:BP12)</f>
        <v>6230000</v>
      </c>
      <c r="BQ14" s="3">
        <f>BQ4*BR4+BQ6*BR6</f>
        <v>0</v>
      </c>
      <c r="BR14" s="3"/>
      <c r="BS14" s="7">
        <f>SUM(BS4:BS12)</f>
        <v>0.99999999999999989</v>
      </c>
      <c r="BT14" s="3">
        <f>SUM(BT4:BT12)</f>
        <v>6245000</v>
      </c>
      <c r="BU14" s="9">
        <f>SUMPRODUCT(BS4:BS12,BU4:BU12)</f>
        <v>2.4077046548956664E-3</v>
      </c>
      <c r="BV14" s="34">
        <f t="array" ref="BV14">PRODUCT(1+G15:BU15)-1</f>
        <v>1.3535405420897817E-2</v>
      </c>
    </row>
    <row r="15" spans="1:74" s="27" customFormat="1" hidden="1" x14ac:dyDescent="0.25">
      <c r="A15" s="26"/>
      <c r="G15" s="28">
        <f>G14</f>
        <v>1.425345521819567E-2</v>
      </c>
      <c r="M15" s="28">
        <f>M14</f>
        <v>4.53458652815566E-3</v>
      </c>
      <c r="S15" s="28">
        <f>S14</f>
        <v>-6.0939868775586534E-3</v>
      </c>
      <c r="Y15" s="28">
        <f>Y14</f>
        <v>-8.8176287734287092E-3</v>
      </c>
      <c r="AE15" s="28">
        <f>AE14</f>
        <v>-2.6229508196721311E-2</v>
      </c>
      <c r="AK15" s="28">
        <f>AK14</f>
        <v>-6.7340067340067311E-4</v>
      </c>
      <c r="AQ15" s="28">
        <f>AQ14</f>
        <v>8.0862533692722376E-3</v>
      </c>
      <c r="AW15" s="28">
        <f>AW14</f>
        <v>7.3529411764705873E-3</v>
      </c>
      <c r="BC15" s="28">
        <f>BC14</f>
        <v>6.4698075646980758E-3</v>
      </c>
      <c r="BI15" s="28">
        <f>BI14</f>
        <v>5.4392615790341183E-3</v>
      </c>
      <c r="BO15" s="28">
        <f>BO14</f>
        <v>7.3589533932951756E-3</v>
      </c>
      <c r="BU15" s="28">
        <f>BU14</f>
        <v>2.4077046548956664E-3</v>
      </c>
      <c r="BV15" s="33"/>
    </row>
    <row r="16" spans="1:74" x14ac:dyDescent="0.25">
      <c r="B16" t="s">
        <v>55</v>
      </c>
    </row>
    <row r="17" spans="1:9" ht="30" x14ac:dyDescent="0.25">
      <c r="A17" s="79" t="s">
        <v>65</v>
      </c>
      <c r="B17" s="104" t="s">
        <v>59</v>
      </c>
      <c r="C17" s="79" t="s">
        <v>39</v>
      </c>
      <c r="D17" s="104" t="s">
        <v>56</v>
      </c>
      <c r="E17" s="105" t="s">
        <v>40</v>
      </c>
      <c r="F17" s="105" t="s">
        <v>67</v>
      </c>
      <c r="G17" s="79" t="s">
        <v>69</v>
      </c>
      <c r="H17" s="79" t="s">
        <v>70</v>
      </c>
      <c r="I17" s="105" t="s">
        <v>41</v>
      </c>
    </row>
    <row r="18" spans="1:9" x14ac:dyDescent="0.25">
      <c r="A18" s="80" t="s">
        <v>2</v>
      </c>
      <c r="B18" s="30">
        <f>B4</f>
        <v>1100000</v>
      </c>
      <c r="C18" s="93">
        <f>C4</f>
        <v>50000</v>
      </c>
      <c r="D18" s="31">
        <v>44931</v>
      </c>
      <c r="E18" s="80">
        <f>(365-(D18-$A$1)+1)/365</f>
        <v>0.99178082191780825</v>
      </c>
      <c r="F18" s="92">
        <f>BV4</f>
        <v>2.6353472770254571E-2</v>
      </c>
      <c r="G18" s="106">
        <f>E18*C18</f>
        <v>49589.04109589041</v>
      </c>
      <c r="H18" s="93">
        <f>G18+B18</f>
        <v>1149589.0410958903</v>
      </c>
      <c r="I18" s="25">
        <f>H18/SUM($H$18:$H$27)</f>
        <v>0.10895517543574929</v>
      </c>
    </row>
    <row r="19" spans="1:9" x14ac:dyDescent="0.25">
      <c r="A19" s="80" t="s">
        <v>3</v>
      </c>
      <c r="B19" s="30">
        <f>B6</f>
        <v>1150000</v>
      </c>
      <c r="C19" s="93">
        <f>C6</f>
        <v>100000</v>
      </c>
      <c r="D19" s="31">
        <v>44941</v>
      </c>
      <c r="E19" s="80">
        <f t="shared" ref="E19:E22" si="20">(365-(D19-$A$1)+1)/365</f>
        <v>0.96438356164383565</v>
      </c>
      <c r="F19" s="92">
        <f>BV6</f>
        <v>-4.2058694365417093E-2</v>
      </c>
      <c r="G19" s="106">
        <f>E19*C19</f>
        <v>96438.356164383571</v>
      </c>
      <c r="H19" s="93">
        <f>G19+B19</f>
        <v>1246438.3561643835</v>
      </c>
      <c r="I19" s="25">
        <f t="shared" ref="I19:I22" si="21">H19/SUM($H$18:$H$27)</f>
        <v>0.11813431140251224</v>
      </c>
    </row>
    <row r="20" spans="1:9" x14ac:dyDescent="0.25">
      <c r="A20" s="80" t="s">
        <v>1</v>
      </c>
      <c r="B20" s="30">
        <f>B8</f>
        <v>1170000</v>
      </c>
      <c r="C20" s="93">
        <f>I8</f>
        <v>100000</v>
      </c>
      <c r="D20" s="89">
        <v>44959</v>
      </c>
      <c r="E20" s="80">
        <f t="shared" si="20"/>
        <v>0.91506849315068495</v>
      </c>
      <c r="F20" s="92">
        <f>BV8</f>
        <v>-6.7319542253522213E-3</v>
      </c>
      <c r="G20" s="106">
        <f>E20*C20</f>
        <v>91506.849315068495</v>
      </c>
      <c r="H20" s="93">
        <f>G20+B20</f>
        <v>1261506.8493150685</v>
      </c>
      <c r="I20" s="25">
        <f t="shared" si="21"/>
        <v>0.11956246551332401</v>
      </c>
    </row>
    <row r="21" spans="1:9" x14ac:dyDescent="0.25">
      <c r="A21" s="80" t="s">
        <v>4</v>
      </c>
      <c r="B21" s="30">
        <f>B10</f>
        <v>1200000</v>
      </c>
      <c r="C21" s="93">
        <f>BE10</f>
        <v>15000</v>
      </c>
      <c r="D21" s="89">
        <v>45209</v>
      </c>
      <c r="E21" s="80">
        <f t="shared" si="20"/>
        <v>0.23013698630136986</v>
      </c>
      <c r="F21" s="92">
        <f>BV10</f>
        <v>5.0638687252047676E-2</v>
      </c>
      <c r="G21" s="106">
        <f>E21*C21</f>
        <v>3452.0547945205481</v>
      </c>
      <c r="H21" s="93">
        <f>G21+B21</f>
        <v>1203452.0547945206</v>
      </c>
      <c r="I21" s="25">
        <f t="shared" si="21"/>
        <v>0.11406017722094193</v>
      </c>
    </row>
    <row r="22" spans="1:9" x14ac:dyDescent="0.25">
      <c r="A22" s="80" t="s">
        <v>5</v>
      </c>
      <c r="B22" s="30">
        <f>B12</f>
        <v>1210000</v>
      </c>
      <c r="C22" s="93">
        <f>BK12</f>
        <v>70000</v>
      </c>
      <c r="D22" s="89">
        <v>45241</v>
      </c>
      <c r="E22" s="80">
        <f t="shared" si="20"/>
        <v>0.14246575342465753</v>
      </c>
      <c r="F22" s="92">
        <f>BV12</f>
        <v>4.1807603842511032E-2</v>
      </c>
      <c r="G22" s="106">
        <f>E22*C22</f>
        <v>9972.6027397260277</v>
      </c>
      <c r="H22" s="93">
        <f>G22+B22</f>
        <v>1219972.602739726</v>
      </c>
      <c r="I22" s="25">
        <f t="shared" si="21"/>
        <v>0.11562595345515919</v>
      </c>
    </row>
    <row r="23" spans="1:9" x14ac:dyDescent="0.25">
      <c r="A23" s="107"/>
      <c r="B23" s="107"/>
      <c r="C23" s="107"/>
      <c r="D23" s="107"/>
      <c r="E23" s="107"/>
      <c r="F23" s="107"/>
      <c r="G23" s="107"/>
      <c r="H23" s="107"/>
      <c r="I23" s="107"/>
    </row>
    <row r="24" spans="1:9" ht="30" x14ac:dyDescent="0.25">
      <c r="A24" s="79" t="s">
        <v>66</v>
      </c>
      <c r="B24" s="104" t="s">
        <v>59</v>
      </c>
      <c r="C24" s="78"/>
      <c r="D24" s="78"/>
      <c r="E24" s="104" t="s">
        <v>34</v>
      </c>
      <c r="F24" s="79" t="s">
        <v>68</v>
      </c>
      <c r="G24" s="79" t="s">
        <v>69</v>
      </c>
      <c r="H24" s="79" t="s">
        <v>70</v>
      </c>
      <c r="I24" s="105" t="s">
        <v>41</v>
      </c>
    </row>
    <row r="25" spans="1:9" x14ac:dyDescent="0.25">
      <c r="A25" s="80" t="s">
        <v>7</v>
      </c>
      <c r="B25" s="93">
        <v>1000000</v>
      </c>
      <c r="C25" s="80"/>
      <c r="D25" s="80"/>
      <c r="E25" s="94">
        <v>0.27096517168993151</v>
      </c>
      <c r="F25" s="92">
        <v>4.1441115567760214E-2</v>
      </c>
      <c r="G25" s="93">
        <v>211232.87671232878</v>
      </c>
      <c r="H25" s="93">
        <f>G25+B25</f>
        <v>1211232.8767123288</v>
      </c>
      <c r="I25" s="25">
        <f t="shared" ref="I25:I27" si="22">H25/SUM($H$18:$H$27)</f>
        <v>0.11479762407088837</v>
      </c>
    </row>
    <row r="26" spans="1:9" x14ac:dyDescent="0.25">
      <c r="A26" s="80" t="s">
        <v>30</v>
      </c>
      <c r="B26" s="93">
        <v>1500000</v>
      </c>
      <c r="C26" s="80"/>
      <c r="D26" s="80"/>
      <c r="E26" s="94">
        <v>0.37085331658060461</v>
      </c>
      <c r="F26" s="92">
        <v>4.5367703503608421E-2</v>
      </c>
      <c r="G26" s="93">
        <v>157739.72602739726</v>
      </c>
      <c r="H26" s="93">
        <f>G26+B26</f>
        <v>1657739.7260273972</v>
      </c>
      <c r="I26" s="25">
        <f t="shared" si="22"/>
        <v>0.15711642701807912</v>
      </c>
    </row>
    <row r="27" spans="1:9" x14ac:dyDescent="0.25">
      <c r="A27" s="80" t="s">
        <v>31</v>
      </c>
      <c r="B27" s="80">
        <v>0</v>
      </c>
      <c r="C27" s="80"/>
      <c r="D27" s="80"/>
      <c r="E27" s="94">
        <v>0.35818151172946389</v>
      </c>
      <c r="F27" s="92">
        <v>5.1578104304187855E-2</v>
      </c>
      <c r="G27" s="93">
        <v>1601095.890410959</v>
      </c>
      <c r="H27" s="93">
        <f>G27+B27</f>
        <v>1601095.890410959</v>
      </c>
      <c r="I27" s="25">
        <f t="shared" si="22"/>
        <v>0.15174786588334577</v>
      </c>
    </row>
    <row r="28" spans="1:9" hidden="1" x14ac:dyDescent="0.25">
      <c r="A28" s="108"/>
      <c r="B28" s="109"/>
      <c r="C28" s="109"/>
      <c r="D28" s="109"/>
      <c r="E28" s="109"/>
      <c r="F28" s="109"/>
      <c r="G28" s="109"/>
      <c r="H28" s="109"/>
      <c r="I28" s="110"/>
    </row>
    <row r="29" spans="1:9" x14ac:dyDescent="0.25">
      <c r="A29" s="86" t="s">
        <v>58</v>
      </c>
      <c r="B29" s="93">
        <f>SUM(B18:B22)+SUM(B25:B27)</f>
        <v>8330000</v>
      </c>
      <c r="C29" s="80"/>
      <c r="D29" s="80"/>
      <c r="E29" s="80"/>
      <c r="F29" s="25">
        <f>SUMPRODUCT(F18:F27,I18:I27)</f>
        <v>2.7420005341939075E-2</v>
      </c>
      <c r="G29" s="93">
        <f>SUM(G18:G22)+SUM(G25:G27)</f>
        <v>2221027.3972602738</v>
      </c>
      <c r="H29" s="93">
        <f>SUM(H18:H22)+SUM(H25:H27)</f>
        <v>10551027.397260275</v>
      </c>
      <c r="I29" s="25">
        <f>SUM(I18:I22)+SUM(I25:I27)</f>
        <v>0.99999999999999989</v>
      </c>
    </row>
  </sheetData>
  <mergeCells count="14">
    <mergeCell ref="A23:I23"/>
    <mergeCell ref="A28:I28"/>
    <mergeCell ref="B2:G2"/>
    <mergeCell ref="H2:M2"/>
    <mergeCell ref="N2:S2"/>
    <mergeCell ref="T2:Y2"/>
    <mergeCell ref="Z2:AE2"/>
    <mergeCell ref="BP2:BU2"/>
    <mergeCell ref="AF2:AK2"/>
    <mergeCell ref="AL2:AQ2"/>
    <mergeCell ref="AR2:AW2"/>
    <mergeCell ref="AX2:BC2"/>
    <mergeCell ref="BD2:BI2"/>
    <mergeCell ref="BJ2:BO2"/>
  </mergeCells>
  <pageMargins left="0.7" right="0.7" top="0.75" bottom="0.75" header="0.3" footer="0.3"/>
  <ignoredErrors>
    <ignoredError sqref="BU6:BU14 BO6:BO14 BI6:BI14 BC6:BC14 G14 G6:G13 M14 M6:M13 S14 S6:S13 Y6:Y14 AE7:AW7 AE6:AI6 AK6:AO6 AE9:AW9 AE8:AI8 AK8:AO8 AE11:AW11 AE10:AI10 AK10:AO10 AE13:AW14 AE12:AI12 AK12:AO12 AQ6:AU6 AQ8:AU8 AQ10:AU10 AQ12:AU12 AW6 AW8 AW10 AW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30BA-D42F-4078-A04C-293F0109B039}">
  <dimension ref="A1:R31"/>
  <sheetViews>
    <sheetView tabSelected="1" topLeftCell="A3" zoomScale="265" zoomScaleNormal="265" workbookViewId="0">
      <selection activeCell="I14" sqref="I14"/>
    </sheetView>
  </sheetViews>
  <sheetFormatPr defaultRowHeight="15" x14ac:dyDescent="0.25"/>
  <cols>
    <col min="2" max="2" width="4" customWidth="1"/>
    <col min="3" max="3" width="10.28515625" customWidth="1"/>
    <col min="4" max="4" width="11.42578125" customWidth="1"/>
    <col min="5" max="5" width="11.85546875" bestFit="1" customWidth="1"/>
    <col min="6" max="6" width="12.140625" customWidth="1"/>
    <col min="10" max="10" width="10.7109375" bestFit="1" customWidth="1"/>
    <col min="11" max="11" width="11" bestFit="1" customWidth="1"/>
    <col min="12" max="12" width="10.7109375" bestFit="1" customWidth="1"/>
    <col min="13" max="13" width="11" bestFit="1" customWidth="1"/>
    <col min="16" max="16" width="15" bestFit="1" customWidth="1"/>
    <col min="17" max="17" width="12.28515625" bestFit="1" customWidth="1"/>
  </cols>
  <sheetData>
    <row r="1" spans="1:18" x14ac:dyDescent="0.25">
      <c r="A1" t="s">
        <v>64</v>
      </c>
    </row>
    <row r="3" spans="1:18" x14ac:dyDescent="0.25">
      <c r="D3" t="s">
        <v>19</v>
      </c>
      <c r="E3" t="s">
        <v>71</v>
      </c>
      <c r="F3" s="60" t="s">
        <v>33</v>
      </c>
      <c r="G3" t="s">
        <v>34</v>
      </c>
      <c r="I3" t="s">
        <v>65</v>
      </c>
      <c r="J3" t="s">
        <v>71</v>
      </c>
      <c r="K3" t="s">
        <v>80</v>
      </c>
      <c r="L3" t="s">
        <v>39</v>
      </c>
      <c r="M3" t="s">
        <v>56</v>
      </c>
      <c r="N3" t="s">
        <v>40</v>
      </c>
      <c r="O3" t="s">
        <v>67</v>
      </c>
      <c r="P3" t="s">
        <v>69</v>
      </c>
      <c r="Q3" t="s">
        <v>72</v>
      </c>
      <c r="R3" t="s">
        <v>41</v>
      </c>
    </row>
    <row r="4" spans="1:18" x14ac:dyDescent="0.25">
      <c r="C4" t="s">
        <v>7</v>
      </c>
      <c r="D4" s="61">
        <v>4.1441115567760214E-2</v>
      </c>
      <c r="E4" s="60">
        <v>1000000</v>
      </c>
      <c r="F4" s="60">
        <v>211232.87671232878</v>
      </c>
      <c r="G4" s="61">
        <v>0.27096517168993151</v>
      </c>
      <c r="I4" t="s">
        <v>2</v>
      </c>
      <c r="J4" s="60">
        <v>1100000</v>
      </c>
      <c r="K4" s="60">
        <v>1180000</v>
      </c>
      <c r="L4" s="60">
        <v>50000</v>
      </c>
      <c r="M4" s="8">
        <v>44931</v>
      </c>
      <c r="N4">
        <v>0.99178082191780825</v>
      </c>
      <c r="O4" s="61">
        <v>2.6353472770254571E-2</v>
      </c>
      <c r="P4" s="62">
        <v>49589.04109589041</v>
      </c>
      <c r="Q4" s="60">
        <v>1149589.0410958903</v>
      </c>
      <c r="R4" s="61">
        <v>0.10895517543574929</v>
      </c>
    </row>
    <row r="5" spans="1:18" x14ac:dyDescent="0.25">
      <c r="C5" t="s">
        <v>30</v>
      </c>
      <c r="D5" s="61">
        <v>4.5367703503608421E-2</v>
      </c>
      <c r="E5" s="60">
        <v>1500000</v>
      </c>
      <c r="F5" s="60">
        <v>157739.72602739726</v>
      </c>
      <c r="G5" s="61">
        <v>0.37085331658060461</v>
      </c>
      <c r="I5" t="s">
        <v>3</v>
      </c>
      <c r="J5" s="60">
        <v>1150000</v>
      </c>
      <c r="K5" s="60">
        <v>1197000</v>
      </c>
      <c r="L5" s="60">
        <v>100000</v>
      </c>
      <c r="M5" s="8">
        <v>44941</v>
      </c>
      <c r="N5">
        <v>0.96438356164383565</v>
      </c>
      <c r="O5" s="61">
        <v>-4.2058694365417093E-2</v>
      </c>
      <c r="P5" s="62">
        <v>96438.356164383571</v>
      </c>
      <c r="Q5" s="60">
        <v>1246438.3561643835</v>
      </c>
      <c r="R5" s="61">
        <v>0.11813431140251224</v>
      </c>
    </row>
    <row r="6" spans="1:18" x14ac:dyDescent="0.25">
      <c r="C6" t="s">
        <v>31</v>
      </c>
      <c r="D6" s="61">
        <v>5.1578104304187855E-2</v>
      </c>
      <c r="E6">
        <v>0</v>
      </c>
      <c r="F6" s="60">
        <v>1601095.890410959</v>
      </c>
      <c r="G6" s="61">
        <v>0.35818151172946389</v>
      </c>
      <c r="I6" t="s">
        <v>1</v>
      </c>
      <c r="J6" s="60">
        <v>1170000</v>
      </c>
      <c r="K6" s="60">
        <v>1261000</v>
      </c>
      <c r="L6" s="60">
        <v>100000</v>
      </c>
      <c r="M6" s="8">
        <v>44959</v>
      </c>
      <c r="N6">
        <v>0.91506849315068495</v>
      </c>
      <c r="O6" s="61">
        <v>-6.7319542253522213E-3</v>
      </c>
      <c r="P6" s="62">
        <v>91506.849315068495</v>
      </c>
      <c r="Q6" s="60">
        <v>1261506.8493150685</v>
      </c>
      <c r="R6" s="61">
        <v>0.11956246551332401</v>
      </c>
    </row>
    <row r="7" spans="1:18" x14ac:dyDescent="0.25">
      <c r="C7" t="s">
        <v>35</v>
      </c>
      <c r="D7" s="61">
        <v>4.6528185676613112E-2</v>
      </c>
      <c r="E7" s="60">
        <v>2500000</v>
      </c>
      <c r="F7" s="60">
        <v>1970068.493150685</v>
      </c>
      <c r="G7" s="61">
        <v>1</v>
      </c>
      <c r="I7" t="s">
        <v>4</v>
      </c>
      <c r="J7" s="60">
        <v>1200000</v>
      </c>
      <c r="K7" s="60">
        <v>1276000</v>
      </c>
      <c r="L7" s="60">
        <v>15000</v>
      </c>
      <c r="M7" s="8">
        <v>45209</v>
      </c>
      <c r="N7">
        <v>0.23013698630136986</v>
      </c>
      <c r="O7" s="61">
        <v>5.0638687252047676E-2</v>
      </c>
      <c r="P7" s="62">
        <v>3452.0547945205481</v>
      </c>
      <c r="Q7" s="60">
        <v>1203452.0547945206</v>
      </c>
      <c r="R7" s="61">
        <v>0.11406017722094193</v>
      </c>
    </row>
    <row r="8" spans="1:18" x14ac:dyDescent="0.25">
      <c r="I8" t="s">
        <v>5</v>
      </c>
      <c r="J8" s="60">
        <v>1210000</v>
      </c>
      <c r="K8" s="60">
        <v>1331000</v>
      </c>
      <c r="L8" s="60">
        <v>70000</v>
      </c>
      <c r="M8" s="8">
        <v>45241</v>
      </c>
      <c r="N8">
        <v>0.14246575342465753</v>
      </c>
      <c r="O8" s="61">
        <v>4.1807603842511032E-2</v>
      </c>
      <c r="P8" s="62">
        <v>9972.6027397260277</v>
      </c>
      <c r="Q8" s="60">
        <v>1219972.602739726</v>
      </c>
      <c r="R8" s="61">
        <v>0.11562595345515919</v>
      </c>
    </row>
    <row r="9" spans="1:18" x14ac:dyDescent="0.25">
      <c r="B9" s="107"/>
      <c r="C9" s="95" t="s">
        <v>82</v>
      </c>
      <c r="D9" s="96"/>
      <c r="E9" s="97"/>
      <c r="F9" s="111" t="s">
        <v>18</v>
      </c>
      <c r="G9" s="111"/>
    </row>
    <row r="10" spans="1:18" x14ac:dyDescent="0.25">
      <c r="B10" s="107"/>
      <c r="C10" s="86"/>
      <c r="D10" s="87" t="s">
        <v>14</v>
      </c>
      <c r="E10" s="112" t="s">
        <v>17</v>
      </c>
      <c r="F10" s="112" t="s">
        <v>17</v>
      </c>
      <c r="G10" s="87" t="s">
        <v>15</v>
      </c>
      <c r="I10" t="s">
        <v>81</v>
      </c>
      <c r="J10" t="s">
        <v>10</v>
      </c>
      <c r="K10" s="8">
        <v>45291</v>
      </c>
      <c r="L10" s="60">
        <v>5600000</v>
      </c>
    </row>
    <row r="11" spans="1:18" x14ac:dyDescent="0.25">
      <c r="B11" s="107"/>
      <c r="C11" s="80" t="s">
        <v>9</v>
      </c>
      <c r="D11" s="89">
        <v>44927</v>
      </c>
      <c r="E11" s="93">
        <f>-1*F11</f>
        <v>-8330000</v>
      </c>
      <c r="F11" s="93">
        <f>SUM(E4:E5)+SUM(J4:J8)</f>
        <v>8330000</v>
      </c>
      <c r="G11" s="94"/>
    </row>
    <row r="12" spans="1:18" x14ac:dyDescent="0.25">
      <c r="B12" s="113" t="s">
        <v>73</v>
      </c>
      <c r="C12" s="80" t="s">
        <v>11</v>
      </c>
      <c r="D12" s="89">
        <v>44990</v>
      </c>
      <c r="E12" s="93">
        <v>-1700000</v>
      </c>
      <c r="F12" s="93">
        <v>1700000</v>
      </c>
      <c r="G12" s="92">
        <v>0.82739726027397265</v>
      </c>
    </row>
    <row r="13" spans="1:18" x14ac:dyDescent="0.25">
      <c r="B13" s="113"/>
      <c r="C13" s="80" t="s">
        <v>12</v>
      </c>
      <c r="D13" s="89">
        <v>45000</v>
      </c>
      <c r="E13" s="93">
        <v>-100000</v>
      </c>
      <c r="F13" s="93">
        <v>100000</v>
      </c>
      <c r="G13" s="92">
        <v>0.8</v>
      </c>
    </row>
    <row r="14" spans="1:18" x14ac:dyDescent="0.25">
      <c r="B14" s="113"/>
      <c r="C14" s="80" t="s">
        <v>13</v>
      </c>
      <c r="D14" s="89">
        <v>45026</v>
      </c>
      <c r="E14" s="93">
        <v>-150000</v>
      </c>
      <c r="F14" s="93">
        <v>150000</v>
      </c>
      <c r="G14" s="92">
        <v>0.72876712328767124</v>
      </c>
    </row>
    <row r="15" spans="1:18" x14ac:dyDescent="0.25">
      <c r="B15" s="113"/>
      <c r="C15" s="80" t="s">
        <v>23</v>
      </c>
      <c r="D15" s="89">
        <v>45036</v>
      </c>
      <c r="E15" s="93">
        <v>-100000</v>
      </c>
      <c r="F15" s="93">
        <v>100000</v>
      </c>
      <c r="G15" s="92">
        <v>0.70136986301369864</v>
      </c>
    </row>
    <row r="16" spans="1:18" x14ac:dyDescent="0.25">
      <c r="B16" s="113"/>
      <c r="C16" s="80" t="s">
        <v>24</v>
      </c>
      <c r="D16" s="89">
        <v>45107</v>
      </c>
      <c r="E16" s="93">
        <v>-150000</v>
      </c>
      <c r="F16" s="93">
        <v>150000</v>
      </c>
      <c r="G16" s="92">
        <v>0.50684931506849318</v>
      </c>
      <c r="M16" s="60"/>
    </row>
    <row r="17" spans="2:7" x14ac:dyDescent="0.25">
      <c r="B17" s="113"/>
      <c r="C17" s="80" t="s">
        <v>25</v>
      </c>
      <c r="D17" s="89">
        <v>45122</v>
      </c>
      <c r="E17" s="93">
        <v>-200000</v>
      </c>
      <c r="F17" s="93">
        <v>200000</v>
      </c>
      <c r="G17" s="92">
        <v>0.46575342465753422</v>
      </c>
    </row>
    <row r="18" spans="2:7" x14ac:dyDescent="0.25">
      <c r="B18" s="113"/>
      <c r="C18" s="80" t="s">
        <v>26</v>
      </c>
      <c r="D18" s="89">
        <v>45139</v>
      </c>
      <c r="E18" s="93">
        <v>-200000</v>
      </c>
      <c r="F18" s="93">
        <v>200000</v>
      </c>
      <c r="G18" s="92">
        <v>0.41917808219178082</v>
      </c>
    </row>
    <row r="19" spans="2:7" x14ac:dyDescent="0.25">
      <c r="B19" s="113"/>
      <c r="C19" s="80" t="s">
        <v>27</v>
      </c>
      <c r="D19" s="89">
        <v>45189</v>
      </c>
      <c r="E19" s="93">
        <v>-200000</v>
      </c>
      <c r="F19" s="93">
        <v>200000</v>
      </c>
      <c r="G19" s="92">
        <v>0.28219178082191781</v>
      </c>
    </row>
    <row r="20" spans="2:7" x14ac:dyDescent="0.25">
      <c r="B20" s="113"/>
      <c r="C20" s="80" t="s">
        <v>28</v>
      </c>
      <c r="D20" s="89">
        <v>45221</v>
      </c>
      <c r="E20" s="93">
        <v>225000</v>
      </c>
      <c r="F20" s="93">
        <v>-225000</v>
      </c>
      <c r="G20" s="92">
        <v>0.19452054794520549</v>
      </c>
    </row>
    <row r="21" spans="2:7" x14ac:dyDescent="0.25">
      <c r="B21" s="113"/>
      <c r="C21" s="80" t="s">
        <v>29</v>
      </c>
      <c r="D21" s="89">
        <v>45235</v>
      </c>
      <c r="E21" s="93">
        <v>-300000</v>
      </c>
      <c r="F21" s="93">
        <v>300000</v>
      </c>
      <c r="G21" s="92">
        <v>0.15616438356164383</v>
      </c>
    </row>
    <row r="22" spans="2:7" ht="15" customHeight="1" x14ac:dyDescent="0.25">
      <c r="B22" s="114" t="s">
        <v>79</v>
      </c>
      <c r="C22" s="80" t="s">
        <v>74</v>
      </c>
      <c r="D22" s="89">
        <v>44931</v>
      </c>
      <c r="E22" s="93">
        <f>F22*-1</f>
        <v>-50000</v>
      </c>
      <c r="F22" s="93">
        <v>50000</v>
      </c>
      <c r="G22" s="25">
        <v>0.99178082191780825</v>
      </c>
    </row>
    <row r="23" spans="2:7" x14ac:dyDescent="0.25">
      <c r="B23" s="114"/>
      <c r="C23" s="80" t="s">
        <v>75</v>
      </c>
      <c r="D23" s="89">
        <v>44941</v>
      </c>
      <c r="E23" s="93">
        <f t="shared" ref="E23:E26" si="0">F23*-1</f>
        <v>-100000</v>
      </c>
      <c r="F23" s="93">
        <v>100000</v>
      </c>
      <c r="G23" s="25">
        <v>0.96438356164383565</v>
      </c>
    </row>
    <row r="24" spans="2:7" x14ac:dyDescent="0.25">
      <c r="B24" s="114"/>
      <c r="C24" s="80" t="s">
        <v>76</v>
      </c>
      <c r="D24" s="89">
        <v>44959</v>
      </c>
      <c r="E24" s="93">
        <f t="shared" si="0"/>
        <v>-100000</v>
      </c>
      <c r="F24" s="93">
        <v>100000</v>
      </c>
      <c r="G24" s="25">
        <v>0.91506849315068495</v>
      </c>
    </row>
    <row r="25" spans="2:7" x14ac:dyDescent="0.25">
      <c r="B25" s="114"/>
      <c r="C25" s="80" t="s">
        <v>77</v>
      </c>
      <c r="D25" s="89">
        <v>45209</v>
      </c>
      <c r="E25" s="93">
        <f t="shared" si="0"/>
        <v>-15000</v>
      </c>
      <c r="F25" s="93">
        <v>15000</v>
      </c>
      <c r="G25" s="25">
        <v>0.23013698630136986</v>
      </c>
    </row>
    <row r="26" spans="2:7" x14ac:dyDescent="0.25">
      <c r="B26" s="114"/>
      <c r="C26" s="80" t="s">
        <v>78</v>
      </c>
      <c r="D26" s="89">
        <v>45241</v>
      </c>
      <c r="E26" s="93">
        <f t="shared" si="0"/>
        <v>-70000</v>
      </c>
      <c r="F26" s="93">
        <v>70000</v>
      </c>
      <c r="G26" s="25">
        <v>0.14246575342465753</v>
      </c>
    </row>
    <row r="27" spans="2:7" x14ac:dyDescent="0.25">
      <c r="B27" s="113"/>
      <c r="C27" s="80" t="s">
        <v>10</v>
      </c>
      <c r="D27" s="89">
        <v>45291</v>
      </c>
      <c r="E27" s="93">
        <f>L10+SUM(K4:K8)</f>
        <v>11845000</v>
      </c>
      <c r="F27" s="93">
        <f>E27</f>
        <v>11845000</v>
      </c>
      <c r="G27" s="80"/>
    </row>
    <row r="28" spans="2:7" x14ac:dyDescent="0.25">
      <c r="B28" s="113"/>
      <c r="C28" s="80" t="s">
        <v>16</v>
      </c>
      <c r="D28" s="94">
        <f>(F27-F11-SUM(F12:F26))/(F11+SUMPRODUCT(F12:F26,G12:G26))</f>
        <v>2.8883887162788887E-2</v>
      </c>
      <c r="E28" s="115"/>
      <c r="F28" s="115"/>
      <c r="G28" s="115"/>
    </row>
    <row r="29" spans="2:7" x14ac:dyDescent="0.25">
      <c r="B29" s="113"/>
      <c r="C29" s="86" t="s">
        <v>19</v>
      </c>
      <c r="D29" s="116">
        <f>XIRR(E11:E27,D11:D27,D28)</f>
        <v>2.8994425100619212E-2</v>
      </c>
      <c r="E29" s="115"/>
      <c r="F29" s="115"/>
      <c r="G29" s="115"/>
    </row>
    <row r="30" spans="2:7" x14ac:dyDescent="0.25">
      <c r="B30" s="63"/>
    </row>
    <row r="31" spans="2:7" x14ac:dyDescent="0.25">
      <c r="B31" s="63"/>
    </row>
  </sheetData>
  <mergeCells count="6">
    <mergeCell ref="B27:B29"/>
    <mergeCell ref="C9:E9"/>
    <mergeCell ref="B12:B21"/>
    <mergeCell ref="B22:B26"/>
    <mergeCell ref="B9:B11"/>
    <mergeCell ref="E28:G29"/>
  </mergeCells>
  <pageMargins left="0.7" right="0.7" top="0.75" bottom="0.75" header="0.3" footer="0.3"/>
  <ignoredErrors>
    <ignoredError sqref="F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9628-C18E-4A6B-9FB9-E317E4DE83DE}">
  <dimension ref="B2:G11"/>
  <sheetViews>
    <sheetView topLeftCell="B1" zoomScale="220" zoomScaleNormal="220" workbookViewId="0">
      <selection activeCell="B2" sqref="B2:G11"/>
    </sheetView>
  </sheetViews>
  <sheetFormatPr defaultRowHeight="15" x14ac:dyDescent="0.25"/>
  <cols>
    <col min="1" max="1" width="0" hidden="1" customWidth="1"/>
    <col min="2" max="2" width="19.85546875" bestFit="1" customWidth="1"/>
    <col min="3" max="3" width="11.7109375" style="12" bestFit="1" customWidth="1"/>
    <col min="4" max="4" width="22.28515625" bestFit="1" customWidth="1"/>
    <col min="5" max="5" width="7" style="12" bestFit="1" customWidth="1"/>
    <col min="6" max="6" width="28" style="66" customWidth="1"/>
    <col min="7" max="7" width="5.85546875" style="12" bestFit="1" customWidth="1"/>
  </cols>
  <sheetData>
    <row r="2" spans="2:7" x14ac:dyDescent="0.25">
      <c r="B2" s="73" t="s">
        <v>100</v>
      </c>
      <c r="C2" s="73"/>
      <c r="D2" s="73"/>
      <c r="E2" s="73"/>
      <c r="F2" s="73"/>
      <c r="G2" s="73"/>
    </row>
    <row r="3" spans="2:7" x14ac:dyDescent="0.25">
      <c r="B3" s="39" t="s">
        <v>102</v>
      </c>
      <c r="C3" s="36" t="s">
        <v>103</v>
      </c>
      <c r="D3" s="39" t="s">
        <v>94</v>
      </c>
      <c r="E3" s="36" t="s">
        <v>42</v>
      </c>
      <c r="F3" s="65" t="s">
        <v>101</v>
      </c>
      <c r="G3" s="36" t="s">
        <v>95</v>
      </c>
    </row>
    <row r="4" spans="2:7" ht="30" customHeight="1" x14ac:dyDescent="0.25">
      <c r="B4" s="67" t="s">
        <v>83</v>
      </c>
      <c r="C4" s="15" t="s">
        <v>84</v>
      </c>
      <c r="D4" s="68" t="s">
        <v>85</v>
      </c>
      <c r="E4" s="28">
        <v>1.35E-2</v>
      </c>
      <c r="F4" s="69" t="s">
        <v>105</v>
      </c>
      <c r="G4" s="15">
        <v>2</v>
      </c>
    </row>
    <row r="5" spans="2:7" ht="30" customHeight="1" x14ac:dyDescent="0.25">
      <c r="B5" s="67" t="s">
        <v>83</v>
      </c>
      <c r="C5" s="15" t="s">
        <v>84</v>
      </c>
      <c r="D5" s="67" t="s">
        <v>90</v>
      </c>
      <c r="E5" s="28">
        <v>1.34E-2</v>
      </c>
      <c r="F5" s="69" t="s">
        <v>106</v>
      </c>
      <c r="G5" s="15">
        <v>3</v>
      </c>
    </row>
    <row r="6" spans="2:7" ht="30" customHeight="1" x14ac:dyDescent="0.25">
      <c r="B6" s="67" t="s">
        <v>91</v>
      </c>
      <c r="C6" s="15" t="s">
        <v>19</v>
      </c>
      <c r="D6" s="68" t="s">
        <v>85</v>
      </c>
      <c r="E6" s="28">
        <v>4.65E-2</v>
      </c>
      <c r="F6" s="69" t="s">
        <v>92</v>
      </c>
      <c r="G6" s="15">
        <v>5</v>
      </c>
    </row>
    <row r="7" spans="2:7" ht="30" customHeight="1" x14ac:dyDescent="0.25">
      <c r="B7" s="67" t="s">
        <v>91</v>
      </c>
      <c r="C7" s="15" t="s">
        <v>19</v>
      </c>
      <c r="D7" s="67" t="s">
        <v>90</v>
      </c>
      <c r="E7" s="28">
        <v>5.0500000000000003E-2</v>
      </c>
      <c r="F7" s="69" t="s">
        <v>93</v>
      </c>
      <c r="G7" s="15">
        <v>6</v>
      </c>
    </row>
    <row r="8" spans="2:7" x14ac:dyDescent="0.25">
      <c r="B8" s="67" t="s">
        <v>96</v>
      </c>
      <c r="C8" s="15" t="s">
        <v>84</v>
      </c>
      <c r="D8" s="67" t="s">
        <v>85</v>
      </c>
      <c r="E8" s="15"/>
      <c r="F8" s="69" t="s">
        <v>104</v>
      </c>
      <c r="G8" s="15"/>
    </row>
    <row r="9" spans="2:7" ht="30" customHeight="1" x14ac:dyDescent="0.25">
      <c r="B9" s="67" t="s">
        <v>96</v>
      </c>
      <c r="C9" s="15" t="s">
        <v>84</v>
      </c>
      <c r="D9" s="67" t="s">
        <v>90</v>
      </c>
      <c r="E9" s="15"/>
      <c r="F9" s="69" t="s">
        <v>97</v>
      </c>
      <c r="G9" s="15"/>
    </row>
    <row r="10" spans="2:7" ht="30" x14ac:dyDescent="0.25">
      <c r="B10" s="67" t="s">
        <v>96</v>
      </c>
      <c r="C10" s="15" t="s">
        <v>98</v>
      </c>
      <c r="D10" s="67" t="s">
        <v>85</v>
      </c>
      <c r="E10" s="28">
        <v>2.7400000000000001E-2</v>
      </c>
      <c r="F10" s="69" t="s">
        <v>86</v>
      </c>
      <c r="G10" s="15">
        <v>7</v>
      </c>
    </row>
    <row r="11" spans="2:7" ht="15" customHeight="1" x14ac:dyDescent="0.25">
      <c r="B11" s="67" t="s">
        <v>96</v>
      </c>
      <c r="C11" s="15" t="s">
        <v>19</v>
      </c>
      <c r="D11" s="67" t="s">
        <v>90</v>
      </c>
      <c r="E11" s="28">
        <v>2.9000000000000001E-2</v>
      </c>
      <c r="F11" s="69" t="s">
        <v>99</v>
      </c>
      <c r="G11" s="15">
        <v>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TWR</vt:lpstr>
      <vt:lpstr>TWR full yr</vt:lpstr>
      <vt:lpstr>TWR full yr (2)</vt:lpstr>
      <vt:lpstr>IRR</vt:lpstr>
      <vt:lpstr>Mixed</vt:lpstr>
      <vt:lpstr>IRR Overall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Spaulding</dc:creator>
  <cp:lastModifiedBy>David Spaulding</cp:lastModifiedBy>
  <dcterms:created xsi:type="dcterms:W3CDTF">2024-08-13T17:17:17Z</dcterms:created>
  <dcterms:modified xsi:type="dcterms:W3CDTF">2025-04-25T18:08:50Z</dcterms:modified>
</cp:coreProperties>
</file>